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JdMoaa3prdYRARKWAYuawz94p0w+lvt7mnww7yM72rRW+6HC1cLBIUCgbSh+B+2B7ANCMphqLK5lQtL9C0XKUQ==" workbookSaltValue="9xrgScxf/1WjHEciiAMf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T31" i="8"/>
  <c r="K30" i="2"/>
  <c r="AL21" i="1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<sst xmlns="http://schemas.openxmlformats.org/spreadsheetml/2006/main" count="2682" uniqueCount="1193">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</sst>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yAeEz3+8W9jcqQgbTCRWp9UFqjnqQrDc+lZJj6u0cn2AtbpN7xogQCEdYea7ugcY8f2IMC0brIBU8sUCspNtQ==" saltValue="TVEKiPM6t/NmPRGctM+c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28.912162162162165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280</v>
      </c>
      <c r="D17" s="239">
        <f>IF(ISNUMBER(IF(D_I="SI",Datos!I17,Datos!I17+Datos!AC17)),IF(D_I="SI",Datos!I17,Datos!I17+Datos!AC17)," - ")</f>
        <v>280</v>
      </c>
      <c r="E17" s="240">
        <f>IF(ISNUMBER(IF(D_I="SI",Datos!J17,Datos!J17+Datos!AD17)),IF(D_I="SI",Datos!J17,Datos!J17+Datos!AD17)," - ")</f>
        <v>145</v>
      </c>
      <c r="F17" s="240">
        <f>IF(ISNUMBER(IF(D_I="SI",Datos!K17,Datos!K17+Datos!AE17)),IF(D_I="SI",Datos!K17,Datos!K17+Datos!AE17)," - ")</f>
        <v>172</v>
      </c>
      <c r="G17" s="1390" t="str">
        <f>IF(Datos!E17&lt;&gt;"",Datos!E17,Datos!D17)</f>
        <v>04</v>
      </c>
      <c r="H17" s="241">
        <f>IF(ISNUMBER(IF(D_I="SI",Datos!L17,Datos!L17+Datos!AF17)),IF(D_I="SI",Datos!L17,Datos!L17+Datos!AF17)," - ")</f>
        <v>253</v>
      </c>
      <c r="I17" s="1400" t="str">
        <f>IF(ISNUMBER(Datos!AS17/Datos!BM17),Datos!AS17/Datos!BM17," - ")</f>
        <v xml:space="preserve"> - </v>
      </c>
      <c r="J17" s="1401">
        <f>IF(ISNUMBER(Datos!BY17/Datos!CN17),Datos!BY17/Datos!CN17," - ")</f>
        <v>0</v>
      </c>
      <c r="K17" s="244">
        <f t="shared" si="3"/>
        <v>-9.6428571428571433E-2</v>
      </c>
      <c r="L17" s="1402">
        <f>IF(ISNUMBER(NºAsuntos!I17/NºAsuntos!G17),(NºAsuntos!I17/NºAsuntos!G17)*11," - ")</f>
        <v>16.180232558139533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287</v>
      </c>
      <c r="D23" s="1407">
        <f>SUBTOTAL(9,D16:D22)</f>
        <v>287</v>
      </c>
      <c r="E23" s="1408">
        <f>SUBTOTAL(9,E16:E22)</f>
        <v>145</v>
      </c>
      <c r="F23" s="1408">
        <f>SUBTOTAL(9,F16:F22)</f>
        <v>172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293</v>
      </c>
      <c r="D31" s="1435">
        <f>SUBTOTAL(9,D9:D30)</f>
        <v>293</v>
      </c>
      <c r="E31" s="1436">
        <f>SUBTOTAL(9,E9:E30)</f>
        <v>145</v>
      </c>
      <c r="F31" s="1436">
        <f>SUBTOTAL(9,F9:F30)</f>
        <v>172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o5Nkqp/TNi9JFTopW9P3jJsZpW7dCzu7rPrsrgzm7GUt6iHMxH0hi1fshDuvEMwkAPg1BmF/AcC8/oTns0FAA==" saltValue="90rMJZiL9XE7XmUpycd/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J0FWkuG0laBKqNl6FtLgnS1i2fWigUFuXCYEBIXGUvqh8BAeSHH69hiQPxH/S+38stYCTrsdZt2dlegVqmvvQ==" saltValue="VhWNlTVAfptaCsFYaVsI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0</v>
      </c>
      <c r="S10" s="194">
        <v>6</v>
      </c>
      <c r="T10" s="194">
        <v>1</v>
      </c>
      <c r="U10" s="194">
        <v>1</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0</v>
      </c>
      <c r="BD10" s="136">
        <f>IF(ISNUMBER(BA10/AZ10),BA10/AZ10," - ")</f>
        <v>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411</v>
      </c>
      <c r="J12" s="196">
        <v>109</v>
      </c>
      <c r="K12" s="196">
        <v>141</v>
      </c>
      <c r="L12" s="196">
        <v>379</v>
      </c>
      <c r="M12" s="196">
        <v>45</v>
      </c>
      <c r="N12" s="196">
        <v>40</v>
      </c>
      <c r="O12" s="194">
        <v>33</v>
      </c>
      <c r="P12" s="196">
        <v>28</v>
      </c>
      <c r="Q12" s="196">
        <v>28</v>
      </c>
      <c r="R12" s="196">
        <v>581</v>
      </c>
      <c r="S12" s="196">
        <v>351</v>
      </c>
      <c r="T12" s="196">
        <v>102</v>
      </c>
      <c r="U12" s="196">
        <v>93</v>
      </c>
      <c r="V12" s="196">
        <v>360</v>
      </c>
      <c r="W12" s="196">
        <v>37</v>
      </c>
      <c r="X12" s="202">
        <v>0</v>
      </c>
      <c r="Y12" s="204">
        <v>11</v>
      </c>
      <c r="Z12" s="194">
        <v>6</v>
      </c>
      <c r="AA12" s="194">
        <v>7</v>
      </c>
      <c r="AB12" s="194">
        <v>10</v>
      </c>
      <c r="AC12" s="196">
        <v>0</v>
      </c>
      <c r="AD12" s="196">
        <v>0</v>
      </c>
      <c r="AE12" s="196">
        <v>0</v>
      </c>
      <c r="AF12" s="202">
        <v>0</v>
      </c>
      <c r="AG12" s="215">
        <v>15</v>
      </c>
      <c r="AH12" s="196">
        <v>7</v>
      </c>
      <c r="AI12" s="196">
        <v>0</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366</v>
      </c>
      <c r="AZ12" s="137">
        <f t="shared" si="1"/>
        <v>109</v>
      </c>
      <c r="BA12" s="137">
        <f t="shared" si="1"/>
        <v>93</v>
      </c>
      <c r="BB12" s="137">
        <f t="shared" si="1"/>
        <v>382</v>
      </c>
      <c r="BC12" s="135">
        <f>IF(ISNUMBER(X12),X12," - ")</f>
        <v>0</v>
      </c>
      <c r="BD12" s="136">
        <f t="shared" si="2"/>
        <v>0.85321100917431192</v>
      </c>
      <c r="BE12" s="137">
        <f t="shared" si="3"/>
        <v>4.10752688172043</v>
      </c>
      <c r="BF12" s="137">
        <f t="shared" si="4"/>
        <v>0</v>
      </c>
      <c r="BG12" s="209">
        <f t="shared" si="5"/>
        <v>5.10752688172043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417</v>
      </c>
      <c r="J14" s="197">
        <f t="shared" si="7"/>
        <v>109</v>
      </c>
      <c r="K14" s="197">
        <f t="shared" si="7"/>
        <v>141</v>
      </c>
      <c r="L14" s="197">
        <f t="shared" si="7"/>
        <v>385</v>
      </c>
      <c r="M14" s="197">
        <f t="shared" si="7"/>
        <v>45</v>
      </c>
      <c r="N14" s="197">
        <f t="shared" si="7"/>
        <v>40</v>
      </c>
      <c r="O14" s="197">
        <f t="shared" si="7"/>
        <v>33</v>
      </c>
      <c r="P14" s="197">
        <f t="shared" si="7"/>
        <v>28</v>
      </c>
      <c r="Q14" s="197">
        <f t="shared" si="7"/>
        <v>28</v>
      </c>
      <c r="R14" s="197">
        <f t="shared" si="7"/>
        <v>581</v>
      </c>
      <c r="S14" s="197">
        <f t="shared" si="7"/>
        <v>357</v>
      </c>
      <c r="T14" s="197">
        <f t="shared" si="7"/>
        <v>103</v>
      </c>
      <c r="U14" s="197">
        <f t="shared" si="7"/>
        <v>94</v>
      </c>
      <c r="V14" s="197">
        <f t="shared" si="7"/>
        <v>366</v>
      </c>
      <c r="W14" s="197">
        <f t="shared" si="7"/>
        <v>37</v>
      </c>
      <c r="X14" s="197">
        <f t="shared" si="7"/>
        <v>0</v>
      </c>
      <c r="Y14" s="197">
        <f t="shared" si="7"/>
        <v>11</v>
      </c>
      <c r="Z14" s="197">
        <f t="shared" si="7"/>
        <v>6</v>
      </c>
      <c r="AA14" s="197">
        <f t="shared" si="7"/>
        <v>7</v>
      </c>
      <c r="AB14" s="197">
        <f t="shared" si="7"/>
        <v>10</v>
      </c>
      <c r="AC14" s="197">
        <f t="shared" si="7"/>
        <v>0</v>
      </c>
      <c r="AD14" s="197">
        <f t="shared" si="7"/>
        <v>0</v>
      </c>
      <c r="AE14" s="197">
        <f t="shared" si="7"/>
        <v>0</v>
      </c>
      <c r="AF14" s="197">
        <f>SUBTOTAL(9,AF9:AF13)</f>
        <v>0</v>
      </c>
      <c r="AG14" s="197">
        <f t="shared" ref="AG14:AT14" si="8">SUBTOTAL(9,AG8:AG13)</f>
        <v>15</v>
      </c>
      <c r="AH14" s="197">
        <f t="shared" si="8"/>
        <v>7</v>
      </c>
      <c r="AI14" s="197">
        <f t="shared" si="8"/>
        <v>0</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372</v>
      </c>
      <c r="AZ14" s="197">
        <f>SUBTOTAL(9,AZ8:AZ13)</f>
        <v>110</v>
      </c>
      <c r="BA14" s="197">
        <f>SUBTOTAL(9,BA8:BA13)</f>
        <v>94</v>
      </c>
      <c r="BB14" s="197">
        <f>SUBTOTAL(9,BB8:BB13)</f>
        <v>388</v>
      </c>
      <c r="BC14" s="197">
        <f>SUBTOTAL(9,BC8:BC13)</f>
        <v>0</v>
      </c>
      <c r="BD14" s="219">
        <f>IF(ISNUMBER(BA14/AZ14),BA14/AZ14," - ")</f>
        <v>0.8545454545454545</v>
      </c>
      <c r="BE14" s="220">
        <f>IF(ISNUMBER(BB14/BA14),BB14/BA14, " - ")</f>
        <v>4.1276595744680851</v>
      </c>
      <c r="BF14" s="220">
        <f>IF(ISNUMBER(BC14/BA14),BC14/BA14, " - ")</f>
        <v>0</v>
      </c>
      <c r="BG14" s="221">
        <f>IF(ISNUMBER((AY14+AZ14)/BA14),(AY14+AZ14)/BA14," - ")</f>
        <v>5.1276595744680851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280</v>
      </c>
      <c r="J17" s="196">
        <v>145</v>
      </c>
      <c r="K17" s="196">
        <v>172</v>
      </c>
      <c r="L17" s="196">
        <v>253</v>
      </c>
      <c r="M17" s="196">
        <v>14</v>
      </c>
      <c r="N17" s="196">
        <v>128</v>
      </c>
      <c r="O17" s="194">
        <v>0</v>
      </c>
      <c r="P17" s="196">
        <v>10</v>
      </c>
      <c r="Q17" s="196">
        <v>10</v>
      </c>
      <c r="R17" s="196">
        <v>0</v>
      </c>
      <c r="S17" s="196">
        <v>187</v>
      </c>
      <c r="T17" s="196">
        <v>136</v>
      </c>
      <c r="U17" s="196">
        <v>87</v>
      </c>
      <c r="V17" s="196">
        <v>236</v>
      </c>
      <c r="W17" s="196">
        <v>17</v>
      </c>
      <c r="X17" s="202">
        <v>52</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187</v>
      </c>
      <c r="AZ17" s="137">
        <f t="shared" si="10"/>
        <v>136</v>
      </c>
      <c r="BA17" s="137">
        <f t="shared" si="10"/>
        <v>87</v>
      </c>
      <c r="BB17" s="137">
        <f t="shared" si="10"/>
        <v>236</v>
      </c>
      <c r="BC17" s="135">
        <f>IF(ISNUMBER(W17),W17," - ")</f>
        <v>17</v>
      </c>
      <c r="BD17" s="136">
        <f t="shared" ref="BD17:BD22" si="12">IF(ISNUMBER(BA17/AZ17),BA17/AZ17," - ")</f>
        <v>0.63970588235294112</v>
      </c>
      <c r="BE17" s="137">
        <f t="shared" ref="BE17:BE22" si="13">IF(ISNUMBER(BB17/BA17),BB17/BA17, " - ")</f>
        <v>2.7126436781609193</v>
      </c>
      <c r="BF17" s="137">
        <f t="shared" ref="BF17:BF22" si="14">IF(ISNUMBER(BC17/BA17),BC17/BA17, " - ")</f>
        <v>0.19540229885057472</v>
      </c>
      <c r="BG17" s="209">
        <f t="shared" si="11"/>
        <v>3.7126436781609193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0</v>
      </c>
      <c r="K18" s="196">
        <v>0</v>
      </c>
      <c r="L18" s="196">
        <v>7</v>
      </c>
      <c r="M18" s="196">
        <v>0</v>
      </c>
      <c r="N18" s="196">
        <v>0</v>
      </c>
      <c r="O18" s="196">
        <v>0</v>
      </c>
      <c r="P18" s="196">
        <v>0</v>
      </c>
      <c r="Q18" s="196">
        <v>0</v>
      </c>
      <c r="R18" s="196">
        <v>0</v>
      </c>
      <c r="S18" s="196">
        <v>7</v>
      </c>
      <c r="T18" s="196">
        <v>8</v>
      </c>
      <c r="U18" s="196">
        <v>8</v>
      </c>
      <c r="V18" s="196">
        <v>7</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8</v>
      </c>
      <c r="BA18" s="139">
        <f t="shared" si="15"/>
        <v>8</v>
      </c>
      <c r="BB18" s="139">
        <f t="shared" si="15"/>
        <v>7</v>
      </c>
      <c r="BC18" s="135">
        <f>IF(ISNUMBER(W18),W18," - ")</f>
        <v>2</v>
      </c>
      <c r="BD18" s="136">
        <f>IF(ISNUMBER(BA18/AZ18),BA18/AZ18," - ")</f>
        <v>1</v>
      </c>
      <c r="BE18" s="137">
        <f>IF(ISNUMBER(BB18/BA18),BB18/BA18, " - ")</f>
        <v>0.875</v>
      </c>
      <c r="BF18" s="137">
        <f>IF(ISNUMBER(BC18/BA18),BC18/BA18, " - ")</f>
        <v>0.25</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287</v>
      </c>
      <c r="J23" s="197">
        <f t="shared" si="21"/>
        <v>145</v>
      </c>
      <c r="K23" s="197">
        <f t="shared" si="21"/>
        <v>172</v>
      </c>
      <c r="L23" s="197">
        <f t="shared" si="21"/>
        <v>260</v>
      </c>
      <c r="M23" s="197">
        <f t="shared" si="21"/>
        <v>14</v>
      </c>
      <c r="N23" s="197">
        <f t="shared" si="21"/>
        <v>128</v>
      </c>
      <c r="O23" s="197">
        <f t="shared" si="21"/>
        <v>0</v>
      </c>
      <c r="P23" s="197">
        <f t="shared" si="21"/>
        <v>10</v>
      </c>
      <c r="Q23" s="197">
        <f t="shared" si="21"/>
        <v>10</v>
      </c>
      <c r="R23" s="197">
        <f t="shared" si="21"/>
        <v>0</v>
      </c>
      <c r="S23" s="197">
        <f t="shared" si="21"/>
        <v>194</v>
      </c>
      <c r="T23" s="197">
        <f t="shared" si="21"/>
        <v>144</v>
      </c>
      <c r="U23" s="197">
        <f t="shared" si="21"/>
        <v>95</v>
      </c>
      <c r="V23" s="197">
        <f t="shared" si="21"/>
        <v>243</v>
      </c>
      <c r="W23" s="197">
        <f t="shared" si="21"/>
        <v>19</v>
      </c>
      <c r="X23" s="197">
        <f t="shared" si="21"/>
        <v>60</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194</v>
      </c>
      <c r="AZ23" s="197">
        <f>SUBTOTAL(9,AZ15:AZ22)</f>
        <v>144</v>
      </c>
      <c r="BA23" s="197">
        <f>SUBTOTAL(9,BA15:BA22)</f>
        <v>95</v>
      </c>
      <c r="BB23" s="197">
        <f>SUBTOTAL(9,BB15:BB22)</f>
        <v>243</v>
      </c>
      <c r="BC23" s="197">
        <f>SUBTOTAL(9,BC15:BC22)</f>
        <v>19</v>
      </c>
      <c r="BD23" s="219">
        <f>IF(ISNUMBER(BA23/AZ23),BA23/AZ23," - ")</f>
        <v>0.65972222222222221</v>
      </c>
      <c r="BE23" s="220">
        <f>IF(ISNUMBER(BB23/BA23),BB23/BA23, " - ")</f>
        <v>2.5578947368421052</v>
      </c>
      <c r="BF23" s="220">
        <f>IF(ISNUMBER(BC23/BA23),BC23/BA23, " - ")</f>
        <v>0.2</v>
      </c>
      <c r="BG23" s="221">
        <f>IF(ISNUMBER((AY23+AZ23)/BA23),(AY23+AZ23)/BA23," - ")</f>
        <v>3.5578947368421052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704</v>
      </c>
      <c r="J31" s="144">
        <f t="shared" si="36"/>
        <v>254</v>
      </c>
      <c r="K31" s="144">
        <f t="shared" si="36"/>
        <v>313</v>
      </c>
      <c r="L31" s="144">
        <f t="shared" si="36"/>
        <v>645</v>
      </c>
      <c r="M31" s="144">
        <f t="shared" si="36"/>
        <v>59</v>
      </c>
      <c r="N31" s="144">
        <f t="shared" si="36"/>
        <v>168</v>
      </c>
      <c r="O31" s="144">
        <f t="shared" si="36"/>
        <v>33</v>
      </c>
      <c r="P31" s="144">
        <f t="shared" si="36"/>
        <v>38</v>
      </c>
      <c r="Q31" s="144">
        <f t="shared" si="36"/>
        <v>38</v>
      </c>
      <c r="R31" s="144">
        <f t="shared" si="36"/>
        <v>581</v>
      </c>
      <c r="S31" s="144">
        <f t="shared" si="36"/>
        <v>551</v>
      </c>
      <c r="T31" s="144">
        <f t="shared" si="36"/>
        <v>247</v>
      </c>
      <c r="U31" s="144">
        <f t="shared" si="36"/>
        <v>189</v>
      </c>
      <c r="V31" s="144">
        <f t="shared" si="36"/>
        <v>609</v>
      </c>
      <c r="W31" s="144">
        <f t="shared" si="36"/>
        <v>56</v>
      </c>
      <c r="X31" s="144">
        <f t="shared" si="36"/>
        <v>60</v>
      </c>
      <c r="Y31" s="144">
        <f t="shared" si="36"/>
        <v>11</v>
      </c>
      <c r="Z31" s="144">
        <f t="shared" si="36"/>
        <v>6</v>
      </c>
      <c r="AA31" s="144">
        <f t="shared" si="36"/>
        <v>7</v>
      </c>
      <c r="AB31" s="144">
        <f t="shared" si="36"/>
        <v>10</v>
      </c>
      <c r="AC31" s="144">
        <f t="shared" si="36"/>
        <v>0</v>
      </c>
      <c r="AD31" s="144">
        <f t="shared" si="36"/>
        <v>4</v>
      </c>
      <c r="AE31" s="144">
        <f t="shared" si="36"/>
        <v>4</v>
      </c>
      <c r="AF31" s="144">
        <f t="shared" si="36"/>
        <v>0</v>
      </c>
      <c r="AG31" s="144">
        <f t="shared" si="36"/>
        <v>15</v>
      </c>
      <c r="AH31" s="144">
        <f t="shared" si="36"/>
        <v>7</v>
      </c>
      <c r="AI31" s="144">
        <f t="shared" si="36"/>
        <v>0</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566</v>
      </c>
      <c r="AZ31" s="144">
        <f>SUBTOTAL(9,AZ9:AZ30)</f>
        <v>254</v>
      </c>
      <c r="BA31" s="144">
        <f>SUBTOTAL(9,BA9:BA30)</f>
        <v>189</v>
      </c>
      <c r="BB31" s="144">
        <f>SUBTOTAL(9,BB9:BB30)</f>
        <v>631</v>
      </c>
      <c r="BC31" s="145">
        <f>SUBTOTAL(9,BC9:BC30)</f>
        <v>19</v>
      </c>
      <c r="BD31" s="227">
        <f>IF(ISNUMBER(BA31/AZ31),BA31/AZ31," - ")</f>
        <v>0.74409448818897639</v>
      </c>
      <c r="BE31" s="224">
        <f>IF(ISNUMBER(BB31/BA31),BB31/BA31, " - ")</f>
        <v>3.3386243386243386</v>
      </c>
      <c r="BF31" s="224">
        <f>IF(ISNUMBER(BC31/BA31),BC31/BA31, " - ")</f>
        <v>0.10052910052910052</v>
      </c>
      <c r="BG31" s="145">
        <f>IF(ISNUMBER((AY31+AZ31)/BA31),(AY31+AZ31)/BA31," - ")</f>
        <v>4.3386243386243386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tYmEMa5IZbgSwAIWOzwGpbKgTw57L5Bh4a0KnwV6IFMuW16xNVIcluZ6IT6L74dkSEkd8CgpZA2MtBXRu18Q==" saltValue="b+lQKnrmsZ56iO9WrQYz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O1x8nLytaDZon4/NKP/MPrGyux2TC68Ur2AJGWBXCsaiSzDE9CydZfChfvjblMzm+qXCIjSyI1qaKrN31rxw==" saltValue="8NUpCDNH88znRuBfJN2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SEPULVEDA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581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1.2869565217391303</v>
      </c>
      <c r="BH12" s="764">
        <f>IF(ISNUMBER(((IF(J_V="SI",Datos!L12/Datos!K12,(Datos!L12+Datos!AB12)/(Datos!K12+Datos!AA12)))*11)/factor_trimestre),((IF(J_V="SI",Datos!L12/Datos!K12,(Datos!L12+Datos!AB12)/(Datos!K12+Datos!AA12)))*11)/factor_trimestre," - ")</f>
        <v>7.885135135135136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v>
      </c>
      <c r="AD14" s="1198">
        <f t="shared" si="2"/>
        <v>0</v>
      </c>
      <c r="AE14" s="1198">
        <f t="shared" si="2"/>
        <v>0</v>
      </c>
      <c r="AF14" s="1198">
        <f t="shared" si="2"/>
        <v>6</v>
      </c>
      <c r="AG14" s="1198">
        <f t="shared" si="2"/>
        <v>0</v>
      </c>
      <c r="AH14" s="1198">
        <f t="shared" si="2"/>
        <v>10</v>
      </c>
      <c r="AI14" s="1198">
        <f t="shared" si="2"/>
        <v>0</v>
      </c>
      <c r="AJ14" s="1198">
        <f t="shared" si="2"/>
        <v>0</v>
      </c>
      <c r="AK14" s="1198">
        <f t="shared" si="2"/>
        <v>0</v>
      </c>
      <c r="AL14" s="1198">
        <f t="shared" si="2"/>
        <v>0</v>
      </c>
      <c r="AM14" s="1198">
        <f t="shared" si="2"/>
        <v>581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40</v>
      </c>
      <c r="BE14" s="1198">
        <f t="shared" si="2"/>
        <v>0</v>
      </c>
      <c r="BF14" s="1198">
        <f t="shared" si="2"/>
        <v>0</v>
      </c>
      <c r="BG14" s="1198">
        <f>IF(ISNUMBER(Datos!K14/Datos!J14),Datos!K14/Datos!J14," - ")</f>
        <v>1.2935779816513762</v>
      </c>
      <c r="BH14" s="1202">
        <f>IF(ISNUMBER(((Datos!L14/Datos!K14)*11)/factor_trimestre),((Datos!L14/Datos!K14)*11)/factor_trimestre," - ")</f>
        <v>8.1914893617021285</v>
      </c>
      <c r="BI14" s="1198">
        <f>IF(ISNUMBER('Resol  Asuntos'!D14/NºAsuntos!G14),'Resol  Asuntos'!D14/NºAsuntos!G14," - ")</f>
        <v>0.30405405405405406</v>
      </c>
      <c r="BJ14" s="1198" t="str">
        <f>IF(ISNUMBER(Datos!CI14/Datos!CJ14),Datos!CI14/Datos!CJ14," - ")</f>
        <v xml:space="preserve"> - </v>
      </c>
      <c r="BK14" s="1198">
        <f>SUBTOTAL(9,BK8:BK13)</f>
        <v>0</v>
      </c>
      <c r="BL14" s="1198">
        <f>IF(ISNUMBER((I14-AB14+L14)/(F14)),(I14-AB14+L14)/(F14)," - ")</f>
        <v>0</v>
      </c>
      <c r="BM14" s="1203">
        <f>SUBTOTAL(9,BM9:BM13)</f>
        <v>0</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280</v>
      </c>
      <c r="G17" s="743">
        <f>IF(ISNUMBER(IF(D_I="SI",Datos!I17,Datos!I17+Datos!AC17)),IF(D_I="SI",Datos!I17,Datos!I17+Datos!AC17)," - ")</f>
        <v>280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v>
      </c>
      <c r="AC17" s="240">
        <f>IF(ISNUMBER(Datos!Q17),Datos!Q17," - ")</f>
        <v>10</v>
      </c>
      <c r="AD17" s="374"/>
      <c r="AE17" s="562"/>
      <c r="AF17" s="741">
        <f>IF(ISNUMBER(IF(D_I="SI",Datos!L17,Datos!L17+Datos!AF17)),IF(D_I="SI",Datos!L17,Datos!L17+Datos!AF17)," - ")</f>
        <v>253</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1.1862068965517241</v>
      </c>
      <c r="BH17" s="764">
        <f>IF(ISNUMBER(((IF(D_I="SI",Datos!L17/Datos!K17,(Datos!L17+Datos!AF17)/(Datos!K17+Datos!AE17)))*11)/factor_trimestre),((IF(D_I="SI",Datos!L17/Datos!K17,(Datos!L17+Datos!AF17)/(Datos!K17+Datos!AE17)))*11)/factor_trimestre," - ")</f>
        <v>4.412790697674418</v>
      </c>
      <c r="BI17" s="266">
        <f>IF(ISNUMBER('Resol  Asuntos'!D17/NºAsuntos!G17),'Resol  Asuntos'!D17/NºAsuntos!G17," - ")</f>
        <v>8.1395348837209308E-2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280</v>
      </c>
      <c r="G23" s="1197">
        <f>SUBTOTAL(9,G16:G22)</f>
        <v>287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172</v>
      </c>
      <c r="AC23" s="1198">
        <f t="shared" si="5"/>
        <v>10</v>
      </c>
      <c r="AD23" s="1198">
        <f t="shared" si="5"/>
        <v>0</v>
      </c>
      <c r="AE23" s="1198">
        <f t="shared" si="5"/>
        <v>0</v>
      </c>
      <c r="AF23" s="1198">
        <f t="shared" si="5"/>
        <v>260</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128</v>
      </c>
      <c r="BE23" s="1198">
        <f t="shared" si="5"/>
        <v>0</v>
      </c>
      <c r="BF23" s="1198">
        <f t="shared" si="5"/>
        <v>0</v>
      </c>
      <c r="BG23" s="1198">
        <f>IF(ISNUMBER(Datos!K23/Datos!J23),Datos!K23/Datos!J23," - ")</f>
        <v>1.1862068965517241</v>
      </c>
      <c r="BH23" s="1202">
        <f>IF(ISNUMBER(((Datos!L23/Datos!K23)*11)/factor_trimestre),((Datos!L23/Datos!K23)*11)/factor_trimestre," - ")</f>
        <v>4.5348837209302326</v>
      </c>
      <c r="BI23" s="1198">
        <f>SUBTOTAL(9,BI16:BI22)</f>
        <v>8.1395348837209308E-2</v>
      </c>
      <c r="BJ23" s="1198">
        <f>SUBTOTAL(9,BJ16:BJ22)</f>
        <v>0</v>
      </c>
      <c r="BK23" s="1198">
        <f>SUBTOTAL(9,BK16:BK22)</f>
        <v>0</v>
      </c>
      <c r="BL23" s="1198">
        <f>IF(ISNUMBER((I23-AB23+L23)/(F23)),(I23-AB23+L23)/(F23)," - ")</f>
        <v>-0.61428571428571432</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286</v>
      </c>
      <c r="G31" s="1117">
        <f t="shared" si="18"/>
        <v>293</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v>
      </c>
      <c r="AC31" s="1118">
        <f t="shared" si="19"/>
        <v>38</v>
      </c>
      <c r="AD31" s="1118">
        <f t="shared" si="19"/>
        <v>0</v>
      </c>
      <c r="AE31" s="1118">
        <f t="shared" si="19"/>
        <v>0</v>
      </c>
      <c r="AF31" s="1125">
        <f t="shared" si="19"/>
        <v>266</v>
      </c>
      <c r="AG31" s="1125">
        <f t="shared" si="19"/>
        <v>0</v>
      </c>
      <c r="AH31" s="1125">
        <f t="shared" si="19"/>
        <v>10</v>
      </c>
      <c r="AI31" s="1125">
        <f t="shared" si="19"/>
        <v>0</v>
      </c>
      <c r="AJ31" s="1118">
        <f t="shared" si="19"/>
        <v>0</v>
      </c>
      <c r="AK31" s="1125">
        <f t="shared" si="19"/>
        <v>0</v>
      </c>
      <c r="AL31" s="1125">
        <f t="shared" si="19"/>
        <v>0</v>
      </c>
      <c r="AM31" s="1125">
        <f t="shared" si="19"/>
        <v>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168</v>
      </c>
      <c r="BE31" s="1117">
        <f t="shared" si="19"/>
        <v>0</v>
      </c>
      <c r="BF31" s="1127">
        <f t="shared" si="19"/>
        <v>0</v>
      </c>
      <c r="BG31" s="1223">
        <f>IF(ISNUMBER(Datos!K31/Datos!J31),Datos!K31/Datos!J31," - ")</f>
        <v>1.2322834645669292</v>
      </c>
      <c r="BH31" s="1223">
        <f>IF(ISNUMBER(((Datos!L31/Datos!K31)*11)/factor_trimestre),((Datos!L31/Datos!K31)*11)/factor_trimestre," - ")</f>
        <v>6.1821086261980831</v>
      </c>
      <c r="BI31" s="1103">
        <f>IF(ISNUMBER(Datos!J31/Datos!I31),Datos!J31/Datos!I31," - ")</f>
        <v>0.36079545454545453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-0.60139860139860135</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143.06735010709701</v>
      </c>
      <c r="G33" s="674">
        <f>IF(ISNUMBER(STDEV(G8:G30)),STDEV(G8:G30),"-")</f>
        <v>136.52437424102982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83.927406273573851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19.645064811004605</v>
      </c>
      <c r="BD33" s="673"/>
      <c r="BE33" s="673">
        <f>IF(ISNUMBER(STDEV(BE8:BE30)),STDEV(BE8:BE30),"-")</f>
        <v>0</v>
      </c>
      <c r="BF33" s="678">
        <f>IF(ISNUMBER(STDEV(BF8:BF30)),STDEV(BF8:BF30),"-")</f>
        <v>0</v>
      </c>
      <c r="BG33" s="1052">
        <f>IF(ISNUMBER(STDEV(BG8:BG30)),STDEV(BG8:BG30),"-")</f>
        <v>6.0140057028800584E-2</v>
      </c>
      <c r="BH33" s="1058">
        <f>IF(ISNUMBER(STDEV(BH8:BH30)),STDEV(BH8:BH30),"-")</f>
        <v>2.0623499633278239</v>
      </c>
      <c r="BI33" s="273">
        <f>IF(ISNUMBER(STDEV(BI8:BI30)),STDEV(BI8:BI30),"-")</f>
        <v>0.12855206339435879</v>
      </c>
      <c r="BJ33" s="244" t="str">
        <f>IF(ISNUMBER(BL33/BM33),BL33/BM33," - ")</f>
        <v xml:space="preserve"> - </v>
      </c>
      <c r="BK33" s="709"/>
      <c r="BL33" s="681">
        <f>IF(ISNUMBER(STDEV(BL8:BL30)),STDEV(BL8:BL30),"-")</f>
        <v>0.43436559415745063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fDiwg0MJofoWVTcc+YLT2y2YouRpEde7QXlDTKSR48dt3ReuM1IWutjCSAXPBL3U6RgpFQ7huNrVlRwZDXlCg==" saltValue="C3+ovvzigDCkybrflpVp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SEPULVEDA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581</v>
      </c>
      <c r="AF12" s="693" t="str">
        <f>IF(ISNUMBER(Datos!BV12),Datos!BV12," - ")</f>
        <v xml:space="preserve"> - </v>
      </c>
      <c r="AG12" s="552" t="str">
        <f>IF(ISNUMBER(Datos!DV12),Datos!DV12," - ")</f>
        <v xml:space="preserve"> - </v>
      </c>
      <c r="AH12" s="553"/>
      <c r="AI12" s="554"/>
      <c r="AJ12" s="552">
        <f>IF(ISNUMBER(Datos!M12),Datos!M12," - ")</f>
        <v>45</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7.885135135135136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v>
      </c>
      <c r="AA14" s="1199">
        <f t="shared" si="3"/>
        <v>6</v>
      </c>
      <c r="AB14" s="1199">
        <f t="shared" si="3"/>
        <v>0</v>
      </c>
      <c r="AC14" s="1199">
        <f t="shared" si="3"/>
        <v>0</v>
      </c>
      <c r="AD14" s="1199">
        <f t="shared" si="3"/>
        <v>0</v>
      </c>
      <c r="AE14" s="1199">
        <f t="shared" si="3"/>
        <v>581</v>
      </c>
      <c r="AF14" s="1211">
        <f t="shared" si="3"/>
        <v>0</v>
      </c>
      <c r="AG14" s="1211">
        <f t="shared" si="3"/>
        <v>0</v>
      </c>
      <c r="AH14" s="1211">
        <f t="shared" si="3"/>
        <v>0</v>
      </c>
      <c r="AI14" s="1211">
        <f t="shared" si="3"/>
        <v>0</v>
      </c>
      <c r="AJ14" s="1211">
        <f t="shared" si="3"/>
        <v>45</v>
      </c>
      <c r="AK14" s="1211">
        <f t="shared" si="3"/>
        <v>40</v>
      </c>
      <c r="AL14" s="1211">
        <f t="shared" si="3"/>
        <v>0</v>
      </c>
      <c r="AM14" s="1211">
        <f t="shared" si="3"/>
        <v>0</v>
      </c>
      <c r="AN14" s="1211">
        <f t="shared" si="3"/>
        <v>0</v>
      </c>
      <c r="AO14" s="1203">
        <f>IF(ISNUMBER(((NºAsuntos!I14/NºAsuntos!G14)*11)/factor_trimestre),((NºAsuntos!I14/NºAsuntos!G14)*11)/factor_trimestre," - ")</f>
        <v>8.0067567567567579</v>
      </c>
      <c r="AP14" s="1213" t="str">
        <f>IF(ISNUMBER(Datos!CI14/Datos!CJ14),Datos!CI14/Datos!CJ14," - ")</f>
        <v xml:space="preserve"> - </v>
      </c>
      <c r="AQ14" s="1236">
        <f t="shared" ref="AQ14:AV14" si="4">SUBTOTAL(9,AQ9:AQ13)</f>
        <v>0</v>
      </c>
      <c r="AR14" s="1236">
        <f t="shared" si="4"/>
        <v>0</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280</v>
      </c>
      <c r="G17" s="552">
        <f>IF(ISNUMBER(IF(D_I="SI",Datos!I17,Datos!I17+Datos!AC17)),IF(D_I="SI",Datos!I17,Datos!I17+Datos!AC17)," - ")</f>
        <v>280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v>
      </c>
      <c r="Z17" s="805">
        <f>IF(ISNUMBER(Datos!Q17),Datos!Q17," - ")</f>
        <v>10</v>
      </c>
      <c r="AA17" s="551">
        <f>IF(ISNUMBER(IF(D_I="SI",Datos!L17,Datos!L17+Datos!AF17)),IF(D_I="SI",Datos!L17,Datos!L17+Datos!AF17)," - ")</f>
        <v>253</v>
      </c>
      <c r="AB17" s="549"/>
      <c r="AC17" s="549"/>
      <c r="AD17" s="563"/>
      <c r="AE17" s="563">
        <f>IF(ISNUMBER(Datos!R17),Datos!R17," - ")</f>
        <v>0</v>
      </c>
      <c r="AF17" s="693" t="str">
        <f>IF(ISNUMBER(Datos!BV17),Datos!BV17," - ")</f>
        <v xml:space="preserve"> - </v>
      </c>
      <c r="AG17" s="552"/>
      <c r="AH17" s="553"/>
      <c r="AI17" s="554"/>
      <c r="AJ17" s="552">
        <f>IF(ISNUMBER(Datos!M17),Datos!M17," - ")</f>
        <v>14</v>
      </c>
      <c r="AK17" s="693">
        <f>IF(ISNUMBER(Datos!N17),Datos!N17," - ")</f>
        <v>128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4.412790697674418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280</v>
      </c>
      <c r="G23" s="1197">
        <f>SUBTOTAL(9,G16:G22)</f>
        <v>287</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172</v>
      </c>
      <c r="Z23" s="1240">
        <f t="shared" si="6"/>
        <v>10</v>
      </c>
      <c r="AA23" s="1240">
        <f t="shared" si="6"/>
        <v>260</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14</v>
      </c>
      <c r="AK23" s="1240">
        <f t="shared" si="6"/>
        <v>128</v>
      </c>
      <c r="AL23" s="1240">
        <f t="shared" si="6"/>
        <v>0</v>
      </c>
      <c r="AM23" s="1240">
        <f t="shared" si="6"/>
        <v>0</v>
      </c>
      <c r="AN23" s="1240">
        <f t="shared" si="6"/>
        <v>0</v>
      </c>
      <c r="AO23" s="1242">
        <f>IF(ISNUMBER(((NºAsuntos!I23/NºAsuntos!G23)*11)/factor_trimestre),((NºAsuntos!I23/NºAsuntos!G23)*11)/factor_trimestre," - ")</f>
        <v>4.5348837209302326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286</v>
      </c>
      <c r="G31" s="1117">
        <f t="shared" si="12"/>
        <v>293</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v>
      </c>
      <c r="Z31" s="1124">
        <f t="shared" si="13"/>
        <v>38</v>
      </c>
      <c r="AA31" s="1125">
        <f t="shared" si="13"/>
        <v>266</v>
      </c>
      <c r="AB31" s="1125">
        <f t="shared" si="13"/>
        <v>0</v>
      </c>
      <c r="AC31" s="1125">
        <f t="shared" si="13"/>
        <v>0</v>
      </c>
      <c r="AD31" s="1126">
        <f t="shared" si="13"/>
        <v>0</v>
      </c>
      <c r="AE31" s="1126">
        <f t="shared" si="13"/>
        <v>581</v>
      </c>
      <c r="AF31" s="1127">
        <f t="shared" si="13"/>
        <v>0</v>
      </c>
      <c r="AG31" s="1128">
        <f t="shared" si="13"/>
        <v>0</v>
      </c>
      <c r="AH31" s="1129">
        <f t="shared" si="13"/>
        <v>0</v>
      </c>
      <c r="AI31" s="1127">
        <f t="shared" si="13"/>
        <v>0</v>
      </c>
      <c r="AJ31" s="1117">
        <f t="shared" si="13"/>
        <v>59</v>
      </c>
      <c r="AK31" s="1117">
        <f t="shared" si="13"/>
        <v>168</v>
      </c>
      <c r="AL31" s="1117">
        <f t="shared" si="13"/>
        <v>0</v>
      </c>
      <c r="AM31" s="1130">
        <f t="shared" si="13"/>
        <v>0</v>
      </c>
      <c r="AN31" s="1120">
        <f>IF(ISNUMBER(Datos!K31/Datos!J31),Datos!K31/Datos!J31," - ")</f>
        <v>1.2322834645669292</v>
      </c>
      <c r="AO31" s="1120">
        <f>IF(ISNUMBER(FIND("06",Criterios!A8,1)),(IF(ISNUMBER(((Datos!R31/Datos!Q31)*11)/factor_trimestre),((Datos!R31/Datos!Q31)*11)/factor_trimestre," - ")),(IF(ISNUMBER(((Datos!L31/Datos!K31)*11)/factor_trimestre),((Datos!L31/Datos!K31)*11)/factor_trimestre," - ")))</f>
        <v>6.1821086261980831</v>
      </c>
      <c r="AP31" s="1131" t="str">
        <f>IF(ISNUMBER(Datos!CI31/Datos!CJ31),Datos!CI31/Datos!CJ31," - ")</f>
        <v xml:space="preserve"> - </v>
      </c>
      <c r="AQ31" s="1131">
        <f>IF(OR(ISNUMBER(FIND("01",Criterios!A8,1)),ISNUMBER(FIND("02",Criterios!A8,1)),ISNUMBER(FIND("03",Criterios!A8,1)),ISNUMBER(FIND("04",Criterios!A8,1))),(J31-Y31+K31)/(F31-K31),(I31-Y31+K31)/(F31-K31))</f>
        <v>-0.60139860139860135</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143.06735010709701</v>
      </c>
      <c r="G33" s="674">
        <f>IF(ISNUMBER(STDEV(G8:G30)),STDEV(G8:G30),"-")</f>
        <v>136.52437424102982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19.645064811004605</v>
      </c>
      <c r="AK33" s="276"/>
      <c r="AL33" s="276">
        <f>IF(ISNUMBER(STDEV(AL8:AL30)),STDEV(AL8:AL30),"-")</f>
        <v>0</v>
      </c>
      <c r="AM33" s="278">
        <f>IF(ISNUMBER(STDEV(AM8:AM30)),STDEV(AM8:AM30),"-")</f>
        <v>0</v>
      </c>
      <c r="AN33" s="660">
        <f>IF(ISNUMBER(STDEV(AN8:AN30)),STDEV(AN8:AN30),"-")</f>
        <v>0</v>
      </c>
      <c r="AO33" s="661">
        <f>IF(ISNUMBER(STDEV(AO8:AO30)),STDEV(AO8:AO30),"-")</f>
        <v>2.0058571186788434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lSgVWjzgRLf9sqOMqAs2L4h+3nIg+fc5hTSE8Co9JA3XKdBXIJSdxba6ji18ZyAWWjm4ndIKZL+jUopg+0k+A==" saltValue="5PMHH2prddaVm82b4l4p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v0XflyyxTHrBdclaxr9U1GU36OHLsoz4Kwc92QxUlk+MVnj+irz57jeiuVGjWXEi5PlfFhO1t/7gay7TPyemw==" saltValue="FqmbiRFfwVdZRobTIssg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dVh4su7kUB0RrVnfXdCKi8JIZSSI3Qc3Hi+VLId0kOK2xKtiI1WQYhKfLx+3WGWg5ge47zU+yfcpaxFU0gaQQ==" saltValue="GqPL7nULJ7DNAz+jGZjL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SEPULVEDA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0.30405405405405406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0.21499868346888268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DPD8eGaTKPUyHgT31tFK4PQT2FlyH4d3QDT4PTxMzqPAwXJAKr3uvpu4bncxp9iSK1oRUqJNdgypaao+b0jFQ==" saltValue="+weUrV/m7/vXKRkw0zAy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DRZ5hTPb87LBDmQkcW3Rwf8HRygvUhXLhnLO7ZcGDNWR9YpuZm90raL2Xd2hDNwuxy1/ZjH8R/wyqki6fL6CQ==" saltValue="EU07GI1vB/7vCbqTQaCp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SEPULVEDA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422</v>
      </c>
      <c r="D12" s="452">
        <f>IF(ISNUMBER(C12/Datos!BH12),C12/Datos!BH12," - ")</f>
        <v>422</v>
      </c>
      <c r="E12" s="451">
        <f>IF(ISNUMBER(IF(J_V="SI",Datos!J12,Datos!J12+Datos!Z12)),IF(J_V="SI",Datos!J12,Datos!J12+Datos!Z12)," - ")</f>
        <v>115</v>
      </c>
      <c r="F12" s="452">
        <f>IF(ISNUMBER(E12/B12),E12/B12," - ")</f>
        <v>115</v>
      </c>
      <c r="G12" s="451">
        <f>IF(ISNUMBER(IF(J_V="SI",Datos!K12,Datos!K12+Datos!AA12)),IF(J_V="SI",Datos!K12,Datos!K12+Datos!AA12)," - ")</f>
        <v>148</v>
      </c>
      <c r="H12" s="452">
        <f>IF(ISNUMBER(G12/B12),G12/B12," - ")</f>
        <v>148</v>
      </c>
      <c r="I12" s="451">
        <f>IF(ISNUMBER(IF(J_V="SI",Datos!L12,Datos!L12+Datos!AB12)),IF(J_V="SI",Datos!L12,Datos!L12+Datos!AB12)," - ")</f>
        <v>389</v>
      </c>
      <c r="J12" s="452">
        <f>IF(ISNUMBER(I12/B12),I12/B12," - ")</f>
        <v>389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428</v>
      </c>
      <c r="D14" s="1147" t="str">
        <f>IF(ISNUMBER(C14/Datos!BI14),C14/Datos!BI14," - ")</f>
        <v xml:space="preserve"> - </v>
      </c>
      <c r="E14" s="1146">
        <f>SUBTOTAL(9,E8:E13)</f>
        <v>115</v>
      </c>
      <c r="F14" s="1147">
        <f>IF(ISNUMBER(E14/B14),E14/B14," - ")</f>
        <v>115</v>
      </c>
      <c r="G14" s="1146">
        <f>SUBTOTAL(9,G8:G13)</f>
        <v>148</v>
      </c>
      <c r="H14" s="1147">
        <f>IF(ISNUMBER(G14/B14),G14/B14," - ")</f>
        <v>148</v>
      </c>
      <c r="I14" s="1146">
        <f>SUBTOTAL(9,I8:I13)</f>
        <v>395</v>
      </c>
      <c r="J14" s="1147">
        <f>IF(ISNUMBER(I14/B14),I14/B14," - ")</f>
        <v>395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280</v>
      </c>
      <c r="D17" s="452">
        <f>IF(ISNUMBER(C17/Datos!BH17),C17/Datos!BH17," - ")</f>
        <v>280</v>
      </c>
      <c r="E17" s="451">
        <f>IF(ISNUMBER(IF(D_I="SI",Datos!J17,Datos!J17+Datos!AD17)),IF(D_I="SI",Datos!J17,Datos!J17+Datos!AD17)," - ")</f>
        <v>145</v>
      </c>
      <c r="F17" s="452">
        <f>IF(ISNUMBER(E17/B17),E17/B17," - ")</f>
        <v>145</v>
      </c>
      <c r="G17" s="451">
        <f>IF(ISNUMBER(IF(D_I="SI",Datos!K17,Datos!K17+Datos!AE17)),IF(D_I="SI",Datos!K17,Datos!K17+Datos!AE17)," - ")</f>
        <v>172</v>
      </c>
      <c r="H17" s="452">
        <f>IF(ISNUMBER(G17/B17),G17/B17," - ")</f>
        <v>172</v>
      </c>
      <c r="I17" s="451">
        <f>IF(ISNUMBER(IF(D_I="SI",Datos!L17,Datos!L17+Datos!AF17)),IF(D_I="SI",Datos!L17,Datos!L17+Datos!AF17)," - ")</f>
        <v>253</v>
      </c>
      <c r="J17" s="452">
        <f>IF(ISNUMBER(I17/B17),I17/B17," - ")</f>
        <v>253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287</v>
      </c>
      <c r="D23" s="1147" t="str">
        <f>IF(ISNUMBER(C23/Datos!BI23),C23/Datos!BI23," - ")</f>
        <v xml:space="preserve"> - </v>
      </c>
      <c r="E23" s="1146">
        <f>SUBTOTAL(9,E15:E22)</f>
        <v>145</v>
      </c>
      <c r="F23" s="1147">
        <f>IF(ISNUMBER(E23/B23),E23/B23," - ")</f>
        <v>145</v>
      </c>
      <c r="G23" s="1146">
        <f>SUBTOTAL(9,G15:G22)</f>
        <v>172</v>
      </c>
      <c r="H23" s="1147">
        <f>IF(ISNUMBER(G23/B23),G23/B23," - ")</f>
        <v>172</v>
      </c>
      <c r="I23" s="1146">
        <f>SUBTOTAL(9,I15:I22)</f>
        <v>260</v>
      </c>
      <c r="J23" s="1147">
        <f>IF(ISNUMBER(I23/B23),I23/B23," - ")</f>
        <v>260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715</v>
      </c>
      <c r="D31" s="1085" t="str">
        <f>IF(ISNUMBER(C31/Datos!BI31),C31/Datos!BI31," - ")</f>
        <v xml:space="preserve"> - </v>
      </c>
      <c r="E31" s="1084">
        <f>SUBTOTAL(9,E9:E30)</f>
        <v>260</v>
      </c>
      <c r="F31" s="1085">
        <f>IF(ISNUMBER(E31/B31),E31/B31," - ")</f>
        <v>260</v>
      </c>
      <c r="G31" s="1084">
        <f>SUBTOTAL(9,G9:G30)</f>
        <v>320</v>
      </c>
      <c r="H31" s="1085">
        <f>IF(ISNUMBER(G31/B31),G31/B31," - ")</f>
        <v>320</v>
      </c>
      <c r="I31" s="1084">
        <f>SUBTOTAL(9,I9:I30)</f>
        <v>655</v>
      </c>
      <c r="J31" s="1085">
        <f>IF(ISNUMBER(I31/B31),I31/B31," - ")</f>
        <v>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hM80T0IODZ9ctav4FBtN29ub2pLS4DIbL75m7JxFwtj4w6h1sJj44qOFub1cklhD5D7q/Bzathrb25sbBeXMA==" saltValue="HiHauRcO8DUgphqaDrZn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SEPULVEDA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7.885135135135136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6</v>
      </c>
      <c r="AG14" s="1257">
        <f t="shared" si="1"/>
        <v>0</v>
      </c>
      <c r="AH14" s="1257">
        <f t="shared" si="1"/>
        <v>581</v>
      </c>
      <c r="AI14" s="1257">
        <f t="shared" si="1"/>
        <v>0</v>
      </c>
      <c r="AJ14" s="1257">
        <f t="shared" si="1"/>
        <v>0</v>
      </c>
      <c r="AK14" s="1257">
        <f t="shared" si="1"/>
        <v>0</v>
      </c>
      <c r="AL14" s="1257">
        <f t="shared" si="1"/>
        <v>45</v>
      </c>
      <c r="AM14" s="1257">
        <f t="shared" si="1"/>
        <v>40</v>
      </c>
      <c r="AN14" s="1257">
        <f t="shared" si="1"/>
        <v>0</v>
      </c>
      <c r="AO14" s="1257">
        <f t="shared" si="1"/>
        <v>0</v>
      </c>
      <c r="AP14" s="1262">
        <f>IF(ISNUMBER(((Datos!L14/Datos!K14)*11)/factor_trimestre),((Datos!L14/Datos!K14)*11)/factor_trimestre," - ")</f>
        <v>8.1914893617021285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4.5348837209302326</v>
      </c>
      <c r="AQ23" s="1262">
        <f>IF(ISNUMBER(((Datos!M23/Datos!L23)*11)/factor_trimestre),((Datos!M23/Datos!L23)*11)/factor_trimestre," - ")</f>
        <v>0.16153846153846155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5.434782608695652E-2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6</v>
      </c>
      <c r="AG31" s="1285">
        <f t="shared" si="9"/>
        <v>0</v>
      </c>
      <c r="AH31" s="1285">
        <f t="shared" si="9"/>
        <v>581</v>
      </c>
      <c r="AI31" s="1285">
        <f t="shared" si="9"/>
        <v>0</v>
      </c>
      <c r="AJ31" s="1286">
        <f t="shared" si="9"/>
        <v>0</v>
      </c>
      <c r="AK31" s="1286">
        <f t="shared" si="9"/>
        <v>0</v>
      </c>
      <c r="AL31" s="1278">
        <f t="shared" si="9"/>
        <v>45</v>
      </c>
      <c r="AM31" s="1278">
        <f t="shared" si="9"/>
        <v>40</v>
      </c>
      <c r="AN31" s="1278">
        <f t="shared" si="9"/>
        <v>0</v>
      </c>
      <c r="AO31" s="1278">
        <f t="shared" si="9"/>
        <v>0</v>
      </c>
      <c r="AP31" s="1278">
        <f>IF(ISNUMBER(((Datos!L31/Datos!K31)*11)/factor_trimestre),((Datos!L31/Datos!K31)*11)/factor_trimestre," - ")</f>
        <v>6.1821086261980831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2.0284970734775647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itwtB748KuW1s2NtzZ7jFwWF4O7cZpOGsF55UxvNMP7Jh9VpGFwx9mfgngh4fsvcCsij/px5unt7QFuu5KJ6A==" saltValue="uYOQ/j/zFJScXht4bAzY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SEPULVEDA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ZsuFKo0jIkSXHJiklkXkYx6IYQBnXTI+3RxLwfcS4r13JfCHTmGKv7+DyBB5EMPC1PVZ9WXqNDQ/+WWi+grsQ==" saltValue="sRCrt93rOGcpc5hVhieZ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SEPULVEDA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40</v>
      </c>
      <c r="G12" s="452">
        <f t="shared" si="1"/>
        <v>40</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45</v>
      </c>
      <c r="E14" s="1147">
        <f t="shared" si="0"/>
        <v>22.5</v>
      </c>
      <c r="F14" s="1146">
        <f>SUBTOTAL(9,F9:F13)</f>
        <v>40</v>
      </c>
      <c r="G14" s="1147">
        <f t="shared" si="1"/>
        <v>20</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128</v>
      </c>
      <c r="G17" s="452">
        <f t="shared" si="4"/>
        <v>128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128</v>
      </c>
      <c r="G23" s="1147">
        <f t="shared" si="4"/>
        <v>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59</v>
      </c>
      <c r="E31" s="1085">
        <f>IF(ISNUMBER(D31/B31),D31/B31," - ")</f>
        <v>59</v>
      </c>
      <c r="F31" s="1084">
        <f>SUBTOTAL(9,F8:F30)</f>
        <v>168</v>
      </c>
      <c r="G31" s="1085">
        <f>IF(ISNUMBER(F31/B31),F31/B31," - ")</f>
        <v>168</v>
      </c>
      <c r="H31" s="1084">
        <f>SUBTOTAL(9,H8:H30)</f>
        <v>33</v>
      </c>
      <c r="I31" s="1085">
        <f>IF(ISNUMBER(H31/B31),H31/B31," - ")</f>
        <v>33</v>
      </c>
    </row>
    <row r="34" spans="1:1">
      <c r="A34" s="439" t="str">
        <f>Criterios!A4</f>
        <v>Fecha Informe: 05 may. 2023</v>
      </c>
    </row>
    <row r="39" spans="1:1">
      <c r="A39" s="462"/>
    </row>
  </sheetData>
  <sheetProtection algorithmName="SHA-512" hashValue="c5fq6XA0MDlUTPTMXbuip/8zFZqsk9YWCDVZp05Dm9iMMAWMaP9nNg6mWlXtL9JmxV6IPeM5mDaZsJNL1lOctA==" saltValue="AyAnR7/8kh2ldLSxO129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SEPULVEDA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28</v>
      </c>
      <c r="D12" s="456">
        <f>IF(ISNUMBER(Datos!R12),Datos!R12," - ")</f>
        <v>581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28</v>
      </c>
      <c r="D14" s="1148">
        <f>SUBTOTAL(9,D9:D13)</f>
        <v>581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10</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10</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38</v>
      </c>
      <c r="D31" s="1090">
        <f>SUBTOTAL(9,D8:D30)</f>
        <v>581</v>
      </c>
    </row>
    <row r="32" spans="1:4" ht="7.5" customHeight="1"/>
    <row r="33" spans="1:1" ht="6" customHeight="1"/>
    <row r="34" spans="1:1">
      <c r="A34" s="439" t="str">
        <f>Criterios!A4</f>
        <v>Fecha Informe: 05 may. 2023</v>
      </c>
    </row>
    <row r="39" spans="1:1">
      <c r="A39" s="462"/>
    </row>
  </sheetData>
  <sheetProtection algorithmName="SHA-512" hashValue="r+eZt7zwWRH4cPL8D6jI9CtJEQUNhMgp8ne22/Tddrn7HqPt6n5ipQnsAty1uIQW6XAQQcFqjiNXVkbiMvoVFQ==" saltValue="MDNR6ojNjlyicjrjagKL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SEPULVEDA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0.15300546448087432</v>
      </c>
      <c r="C12" s="515">
        <f>IF(ISNUMBER(
   IF(J_V="SI",(Datos!J12-Datos!T12)/Datos!T12,(Datos!J12+Datos!Z12-(Datos!T12+Datos!AH12))/(Datos!T12+Datos!AH12))
     ),IF(J_V="SI",(Datos!J12-Datos!T12)/Datos!T12,(Datos!J12+Datos!Z12-(Datos!T12+Datos!AH12))/(Datos!T12+Datos!AH12))," - ")</f>
        <v>5.5045871559633031E-2</v>
      </c>
      <c r="D12" s="515">
        <f>IF(ISNUMBER(
   IF(J_V="SI",(Datos!K12-Datos!U12)/Datos!U12,(Datos!K12+Datos!AA12-(Datos!U12+Datos!AI12))/(Datos!U12+Datos!AI12))
     ),IF(J_V="SI",(Datos!K12-Datos!U12)/Datos!U12,(Datos!K12+Datos!AA12-(Datos!U12+Datos!AI12))/(Datos!U12+Datos!AI12))," - ")</f>
        <v>0.59139784946236562</v>
      </c>
      <c r="E12" s="515">
        <f>IF(ISNUMBER(
   IF(J_V="SI",(Datos!L12-Datos!V12)/Datos!V12,(Datos!L12+Datos!AB12-(Datos!V12+Datos!AJ12))/(Datos!V12+Datos!AJ12))
     ),IF(J_V="SI",(Datos!L12-Datos!V12)/Datos!V12,(Datos!L12+Datos!AB12-(Datos!V12+Datos!AJ12))/(Datos!V12+Datos!AJ12))," - ")</f>
        <v>1.832460732984293E-2</v>
      </c>
      <c r="F12" s="515">
        <f>IF(ISNUMBER((Datos!M12-Datos!W12)/Datos!W12),(Datos!M12-Datos!W12)/Datos!W12," - ")</f>
        <v>0.21621621621621623</v>
      </c>
      <c r="G12" s="516" t="str">
        <f>IF(ISNUMBER((Datos!N12-Datos!X12)/Datos!X12),(Datos!N12-Datos!X12)/Datos!X12," - ")</f>
        <v xml:space="preserve"> - </v>
      </c>
      <c r="H12" s="514">
        <f>IF(ISNUMBER(((NºAsuntos!G12/NºAsuntos!E12)-Datos!BD12)/Datos!BD12),((NºAsuntos!G12/NºAsuntos!E12)-Datos!BD12)/Datos!BD12," - ")</f>
        <v>0.50836839644693776</v>
      </c>
      <c r="I12" s="515">
        <f>IF(ISNUMBER(((NºAsuntos!I12/NºAsuntos!G12)-Datos!BE12)/Datos!BE12),((NºAsuntos!I12/NºAsuntos!G12)-Datos!BE12)/Datos!BE12," - ")</f>
        <v>-0.3601068345832743</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-0.28960170697012799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0.15053763440860216</v>
      </c>
      <c r="C14" s="1152">
        <f>IF(ISNUMBER(
   IF(J_V="SI",(Datos!J14-Datos!T14)/Datos!T14,(Datos!J14+Datos!Z14-(Datos!T14+Datos!AH14))/(Datos!T14+Datos!AH14))
     ),IF(J_V="SI",(Datos!J14-Datos!T14)/Datos!T14,(Datos!J14+Datos!Z14-(Datos!T14+Datos!AH14))/(Datos!T14+Datos!AH14))," - ")</f>
        <v>4.5454545454545456E-2</v>
      </c>
      <c r="D14" s="1152">
        <f>IF(ISNUMBER(
   IF(J_V="SI",(Datos!K14-Datos!U14)/Datos!U14,(Datos!K14+Datos!AA14-(Datos!U14+Datos!AI14))/(Datos!U14+Datos!AI14))
     ),IF(J_V="SI",(Datos!K14-Datos!U14)/Datos!U14,(Datos!K14+Datos!AA14-(Datos!U14+Datos!AI14))/(Datos!U14+Datos!AI14))," - ")</f>
        <v>0.57446808510638303</v>
      </c>
      <c r="E14" s="1152">
        <f>IF(ISNUMBER(
   IF(J_V="SI",(Datos!L14-Datos!V14)/Datos!V14,(Datos!L14+Datos!AB14-(Datos!V14+Datos!AJ14))/(Datos!V14+Datos!AJ14))
     ),IF(J_V="SI",(Datos!L14-Datos!V14)/Datos!V14,(Datos!L14+Datos!AB14-(Datos!V14+Datos!AJ14))/(Datos!V14+Datos!AJ14))," - ")</f>
        <v>1.804123711340206E-2</v>
      </c>
      <c r="F14" s="1153">
        <f>IF(ISNUMBER((Datos!M14-Datos!W14)/Datos!W14),(Datos!M14-Datos!W14)/Datos!W14," - ")</f>
        <v>0.21621621621621623</v>
      </c>
      <c r="G14" s="1154" t="str">
        <f>IF(ISNUMBER((Datos!N14-Datos!X14)/Datos!X14),(Datos!N14-Datos!X14)/Datos!X14," - ")</f>
        <v xml:space="preserve"> - </v>
      </c>
      <c r="H14" s="1154">
        <f>IF(ISNUMBER(((NºAsuntos!G14/NºAsuntos!E14)-Datos!BD14)/Datos!BD14),((NºAsuntos!G14/NºAsuntos!E14)-Datos!BD14)/Datos!BD14," - ")</f>
        <v>0.50601295097132282</v>
      </c>
      <c r="I14" s="1154">
        <f>IF(ISNUMBER(((NºAsuntos!I14/NºAsuntos!G14)-Datos!BE14)/Datos!BE14),((NºAsuntos!I14/NºAsuntos!G14)-Datos!BE14)/Datos!BE14," - ")</f>
        <v>-0.35340624129283926</v>
      </c>
      <c r="J14" s="1154" t="str">
        <f>IF(ISNUMBER((('Resol  Asuntos'!D14/NºAsuntos!G14)-Datos!BF14)/Datos!BF14),(('Resol  Asuntos'!D14/NºAsuntos!G14)-Datos!BF14)/Datos!BF14," - ")</f>
        <v xml:space="preserve"> - </v>
      </c>
      <c r="K14" s="1154">
        <f>IF(ISNUMBER((((NºAsuntos!C14+NºAsuntos!E14)/NºAsuntos!G14)-Datos!BG14)/Datos!BG14),(((NºAsuntos!C14+NºAsuntos!E14)/NºAsuntos!G14)-Datos!BG14)/Datos!BG14," - ")</f>
        <v>-0.28448469216104072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0.49732620320855614</v>
      </c>
      <c r="C17" s="515">
        <f>IF(ISNUMBER(
   IF(D_I="SI",(Datos!J17-Datos!T17)/Datos!T17,(Datos!J17+Datos!AD17-(Datos!T17+Datos!AL17))/(Datos!T17+Datos!AL17))
     ),IF(D_I="SI",(Datos!J17-Datos!T17)/Datos!T17,(Datos!J17+Datos!AD17-(Datos!T17+Datos!AL17))/(Datos!T17+Datos!AL17))," - ")</f>
        <v>6.6176470588235295E-2</v>
      </c>
      <c r="D17" s="515">
        <f>IF(ISNUMBER(
   IF(D_I="SI",(Datos!K17-Datos!U17)/Datos!U17,(Datos!K17+Datos!AE17-(Datos!U17+Datos!AM17))/(Datos!U17+Datos!AM17))
     ),IF(D_I="SI",(Datos!K17-Datos!U17)/Datos!U17,(Datos!K17+Datos!AE17-(Datos!U17+Datos!AM17))/(Datos!U17+Datos!AM17))," - ")</f>
        <v>0.97701149425287359</v>
      </c>
      <c r="E17" s="515">
        <f>IF(ISNUMBER(
   IF(D_I="SI",(Datos!L17-Datos!V17)/Datos!V17,(Datos!L17+Datos!AF17-(Datos!V17+Datos!AN17))/(Datos!V17+Datos!AN17))
     ),IF(D_I="SI",(Datos!L17-Datos!V17)/Datos!V17,(Datos!L17+Datos!AF17-(Datos!V17+Datos!AN17))/(Datos!V17+Datos!AN17))," - ")</f>
        <v>7.2033898305084748E-2</v>
      </c>
      <c r="F17" s="515">
        <f>IF(ISNUMBER((Datos!M17-Datos!W17)/Datos!W17),(Datos!M17-Datos!W17)/Datos!W17," - ")</f>
        <v>-0.17647058823529413</v>
      </c>
      <c r="G17" s="516">
        <f>IF(ISNUMBER((Datos!N17-Datos!X17)/Datos!X17),(Datos!N17-Datos!X17)/Datos!X17," - ")</f>
        <v>1.4615384615384615</v>
      </c>
      <c r="H17" s="514">
        <f>IF(ISNUMBER(((NºAsuntos!G17/NºAsuntos!E17)-Datos!BD17)/Datos!BD17),((NºAsuntos!G17/NºAsuntos!E17)-Datos!BD17)/Datos!BD17," - ")</f>
        <v>0.85430043598890215</v>
      </c>
      <c r="I17" s="515">
        <f>IF(ISNUMBER(((NºAsuntos!I17/NºAsuntos!G17)-Datos!BE17)/Datos!BE17),((NºAsuntos!I17/NºAsuntos!G17)-Datos!BE17)/Datos!BE17," - ")</f>
        <v>-0.45775029562475361</v>
      </c>
      <c r="J17" s="521">
        <f>IF(ISNUMBER((('Resol  Asuntos'!D17/NºAsuntos!G17)-Datos!BF17)/Datos!BF17),(('Resol  Asuntos'!D17/NºAsuntos!G17)-Datos!BF17)/Datos!BF17," - ")</f>
        <v>-0.58344733242134061</v>
      </c>
      <c r="K17" s="522">
        <f>IF(ISNUMBER((((NºAsuntos!C17+NºAsuntos!E17)/NºAsuntos!G17)-Datos!BG17)/Datos!BG17),(((NºAsuntos!C17+NºAsuntos!E17)/NºAsuntos!G17)-Datos!BG17)/Datos!BG17," - ")</f>
        <v>-0.3344553243574051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0.47938144329896909</v>
      </c>
      <c r="C23" s="1152">
        <f>IF(ISNUMBER(
   IF(Criterios!B14="SI",(Datos!J23-Datos!T23)/Datos!T23,(Datos!J23+Datos!AD23-(Datos!T23+Datos!AL23))/(Datos!T23+Datos!AL23))
     ),IF(Criterios!B14="SI",(Datos!J23-Datos!T23)/Datos!T23,(Datos!J23+Datos!AD23-(Datos!T23+Datos!AL23))/(Datos!T23+Datos!AL23))," - ")</f>
        <v>6.9444444444444441E-3</v>
      </c>
      <c r="D23" s="1152">
        <f>IF(ISNUMBER(
   IF(Criterios!B14="SI",(Datos!K23-Datos!U23)/Datos!U23,(Datos!K23+Datos!AE23-(Datos!U23+Datos!AM23))/(Datos!U23+Datos!AM23))
     ),IF(Criterios!B14="SI",(Datos!K23-Datos!U23)/Datos!U23,(Datos!K23+Datos!AE23-(Datos!U23+Datos!AM23))/(Datos!U23+Datos!AM23))," - ")</f>
        <v>0.81052631578947365</v>
      </c>
      <c r="E23" s="1152">
        <f>IF(ISNUMBER(
   IF(Criterios!B14="SI",(Datos!L23-Datos!V23)/Datos!V23,(Datos!L23+Datos!AF23-(Datos!V23+Datos!AN23))/(Datos!V23+Datos!AN23))
     ),IF(Criterios!B14="SI",(Datos!L23-Datos!V23)/Datos!V23,(Datos!L23+Datos!AF23-(Datos!V23+Datos!AN23))/(Datos!V23+Datos!AN23))," - ")</f>
        <v>6.9958847736625515E-2</v>
      </c>
      <c r="F23" s="1153">
        <f>IF(ISNUMBER((Datos!M23-Datos!W23)/Datos!W23),(Datos!M23-Datos!W23)/Datos!W23," - ")</f>
        <v>-0.26315789473684209</v>
      </c>
      <c r="G23" s="1154">
        <f>IF(ISNUMBER((Datos!N23-Datos!X23)/Datos!X23),(Datos!N23-Datos!X23)/Datos!X23," - ")</f>
        <v>1.1333333333333333</v>
      </c>
      <c r="H23" s="1154">
        <f>IF(ISNUMBER(((NºAsuntos!G23/NºAsuntos!E23)-Datos!BD23)/Datos!BD23),((NºAsuntos!G23/NºAsuntos!E23)-Datos!BD23)/Datos!BD23," - ")</f>
        <v>0.79803992740471863</v>
      </c>
      <c r="I23" s="1154">
        <f>IF(ISNUMBER(((NºAsuntos!I23/NºAsuntos!G23)-Datos!BE23)/Datos!BE23),((NºAsuntos!I23/NºAsuntos!G23)-Datos!BE23)/Datos!BE23," - ")</f>
        <v>-0.40903435735477078</v>
      </c>
      <c r="J23" s="1154">
        <f>IF(ISNUMBER((('Resol  Asuntos'!D23/NºAsuntos!G23)-Datos!BF23)/Datos!BF23),(('Resol  Asuntos'!D23/NºAsuntos!G23)-Datos!BF23)/Datos!BF23," - ")</f>
        <v>-0.59302325581395343</v>
      </c>
      <c r="K23" s="1154">
        <f>IF(ISNUMBER((((NºAsuntos!C23+NºAsuntos!E23)/NºAsuntos!G23)-Datos!BG23)/Datos!BG23),(((NºAsuntos!C23+NºAsuntos!E23)/NºAsuntos!G23)-Datos!BG23)/Datos!BG23," - ")</f>
        <v>-0.29406907940002752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0.26325088339222613</v>
      </c>
      <c r="C31" s="1092">
        <f>IF(ISNUMBER(
   IF(J_V="SI",(Datos!J31-Datos!T31)/Datos!T31,(Datos!J31+Datos!Z31-(Datos!T31+Datos!AH31))/(Datos!T31+Datos!AH31))
     ),IF(J_V="SI",(Datos!J31-Datos!T31)/Datos!T31,(Datos!J31+Datos!Z31-(Datos!T31+Datos!AH31))/(Datos!T31+Datos!AH31))," - ")</f>
        <v>2.3622047244094488E-2</v>
      </c>
      <c r="D31" s="1092">
        <f>IF(ISNUMBER(
   IF(J_V="SI",(Datos!K31-Datos!U31)/Datos!U31,(Datos!K31+Datos!AA31-(Datos!U31+Datos!AI31))/(Datos!U31+Datos!AI31))
     ),IF(J_V="SI",(Datos!K31-Datos!U31)/Datos!U31,(Datos!K31+Datos!AA31-(Datos!U31+Datos!AI31))/(Datos!U31+Datos!AI31))," - ")</f>
        <v>0.69312169312169314</v>
      </c>
      <c r="E31" s="1092">
        <f>IF(ISNUMBER(
   IF(J_V="SI",(Datos!L31-Datos!V31)/Datos!V31,(Datos!L31+Datos!AB31-(Datos!V31+Datos!AJ31))/(Datos!V31+Datos!AJ31))
     ),IF(J_V="SI",(Datos!L31-Datos!V31)/Datos!V31,(Datos!L31+Datos!AB31-(Datos!V31+Datos!AJ31))/(Datos!V31+Datos!AJ31))," - ")</f>
        <v>3.8034865293185421E-2</v>
      </c>
      <c r="F31" s="1093">
        <f>IF(ISNUMBER((Datos!M31-Datos!W31)/Datos!W31),(Datos!M31-Datos!W31)/Datos!W31," - ")</f>
        <v>5.3571428571428568E-2</v>
      </c>
      <c r="G31" s="1094">
        <f>IF(ISNUMBER((Datos!N31-Datos!X31)/Datos!X31),(Datos!N31-Datos!X31)/Datos!X31," - ")</f>
        <v>1.8</v>
      </c>
      <c r="H31" s="1095">
        <f>IF(ISNUMBER((Tasas!B31-Datos!BD31)/Datos!BD31),(Tasas!B31-Datos!BD31)/Datos!BD31," - ")</f>
        <v>0.65404965404965409</v>
      </c>
      <c r="I31" s="1096">
        <f>IF(ISNUMBER((Tasas!C31-Datos!BE31)/Datos!BE31),(Tasas!C31-Datos!BE31)/Datos!BE31," - ")</f>
        <v>-0.38691065768621236</v>
      </c>
      <c r="J31" s="1097">
        <f>IF(ISNUMBER((Tasas!D31-Datos!BF31)/Datos!BF31),(Tasas!D31-Datos!BF31)/Datos!BF31," - ")</f>
        <v>0.83404605263157916</v>
      </c>
      <c r="K31" s="1097">
        <f>IF(ISNUMBER((Tasas!E31-Datos!BG31)/Datos!BG31),(Tasas!E31-Datos!BG31)/Datos!BG31," - ")</f>
        <v>-0.29773246951219512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FpU39Zt9Qdxm4mNo98j5vrFNjGZYp3/4jG50rPtV7KtxmxkABBQunmfsTR4AlHG77i92kRuzo9GZpQUhfCGmA==" saltValue="uxBx5oGmdutht0LYjAp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SEPULVEDA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1.2869565217391303</v>
      </c>
      <c r="C12" s="498">
        <f>IF(ISNUMBER(NºAsuntos!I12/NºAsuntos!G12),NºAsuntos!I12/NºAsuntos!G12," - ")</f>
        <v>2.6283783783783785</v>
      </c>
      <c r="D12" s="499">
        <f>IF(ISNUMBER('Resol  Asuntos'!D12/NºAsuntos!G12),'Resol  Asuntos'!D12/NºAsuntos!G12," - ")</f>
        <v>0.30405405405405406</v>
      </c>
      <c r="E12" s="500">
        <f>IF(ISNUMBER((NºAsuntos!C12+NºAsuntos!E12)/NºAsuntos!G12),(NºAsuntos!C12+NºAsuntos!E12)/NºAsuntos!G12," - ")</f>
        <v>3.6283783783783785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1.2869565217391303</v>
      </c>
      <c r="C14" s="1156">
        <f>IF(ISNUMBER(NºAsuntos!I14/NºAsuntos!G14),NºAsuntos!I14/NºAsuntos!G14," - ")</f>
        <v>2.6689189189189189</v>
      </c>
      <c r="D14" s="1157">
        <f>IF(ISNUMBER('Resol  Asuntos'!D14/NºAsuntos!G14),'Resol  Asuntos'!D14/NºAsuntos!G14," - ")</f>
        <v>0.30405405405405406</v>
      </c>
      <c r="E14" s="1158">
        <f>IF(ISNUMBER((NºAsuntos!C14+NºAsuntos!E14)/NºAsuntos!G14),(NºAsuntos!C14+NºAsuntos!E14)/NºAsuntos!G14," - ")</f>
        <v>3.6689189189189189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1.1862068965517241</v>
      </c>
      <c r="C17" s="498">
        <f>IF(ISNUMBER(NºAsuntos!I17/NºAsuntos!G17),NºAsuntos!I17/NºAsuntos!G17," - ")</f>
        <v>1.4709302325581395</v>
      </c>
      <c r="D17" s="499">
        <f>IF(ISNUMBER('Resol  Asuntos'!D17/NºAsuntos!G17),'Resol  Asuntos'!D17/NºAsuntos!G17," - ")</f>
        <v>8.1395348837209308E-2</v>
      </c>
      <c r="E17" s="500">
        <f>IF(ISNUMBER((NºAsuntos!C17+NºAsuntos!E17)/NºAsuntos!G17),(NºAsuntos!C17+NºAsuntos!E17)/NºAsuntos!G17," - ")</f>
        <v>2.4709302325581395</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1.1862068965517241</v>
      </c>
      <c r="C23" s="1156">
        <f>IF(ISNUMBER(NºAsuntos!I23/NºAsuntos!G23),NºAsuntos!I23/NºAsuntos!G23," - ")</f>
        <v>1.5116279069767442</v>
      </c>
      <c r="D23" s="1159">
        <f>IF(ISNUMBER('Resol  Asuntos'!D23/NºAsuntos!G23),'Resol  Asuntos'!D23/NºAsuntos!G23," - ")</f>
        <v>8.1395348837209308E-2</v>
      </c>
      <c r="E23" s="1158">
        <f>IF(ISNUMBER((NºAsuntos!C23+NºAsuntos!E23)/NºAsuntos!G23),(NºAsuntos!C23+NºAsuntos!E23)/NºAsuntos!G23," - ")</f>
        <v>2.5116279069767442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1.2307692307692308</v>
      </c>
      <c r="C31" s="1099">
        <f>IF(ISNUMBER(NºAsuntos!I31/NºAsuntos!G31),NºAsuntos!I31/NºAsuntos!G31," - ")</f>
        <v>2.046875</v>
      </c>
      <c r="D31" s="1100">
        <f>IF(ISNUMBER('Resol  Asuntos'!D31/NºAsuntos!G31),'Resol  Asuntos'!D31/NºAsuntos!G31," - ")</f>
        <v>0.18437500000000001</v>
      </c>
      <c r="E31" s="1101">
        <f>IF(ISNUMBER((NºAsuntos!C31+NºAsuntos!E31)/NºAsuntos!G31),(NºAsuntos!C31+NºAsuntos!E31)/NºAsuntos!G31," - ")</f>
        <v>3.046875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KBmTvXuuVdxNaejwBXfg+fOZfK0qFdk5B3q1yJ1/hY8xE92fRShKaVI5HI7z8ehHY0tCRShNTNHfHI+UGGFDA==" saltValue="DjAhPxKxlrmBLTyUExgf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SEPULVEDA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1.2869565217391303</v>
      </c>
      <c r="AM12" s="284">
        <f>IF(ISNUMBER(((NºAsuntos!I12/NºAsuntos!G12)*11)/factor_trimestre),((NºAsuntos!I12/NºAsuntos!G12)*11)/factor_trimestre," - ")</f>
        <v>7.885135135135136</v>
      </c>
      <c r="AN12" s="267">
        <f>IF(ISNUMBER('Resol  Asuntos'!D12/NºAsuntos!G12),'Resol  Asuntos'!D12/NºAsuntos!G12," - ")</f>
        <v>0.30405405405405406</v>
      </c>
      <c r="AO12" s="268">
        <f>IF(ISNUMBER((NºAsuntos!C12+NºAsuntos!E12)/NºAsuntos!G12),(NºAsuntos!C12+NºAsuntos!E12)/NºAsuntos!G12," - ")</f>
        <v>3.6283783783783785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v>
      </c>
      <c r="Y14" s="1165">
        <f t="shared" si="6"/>
        <v>28</v>
      </c>
      <c r="Z14" s="1165">
        <f t="shared" si="6"/>
        <v>0</v>
      </c>
      <c r="AA14" s="1165">
        <f t="shared" si="6"/>
        <v>6</v>
      </c>
      <c r="AB14" s="1165">
        <f t="shared" si="6"/>
        <v>581</v>
      </c>
      <c r="AC14" s="1165">
        <f t="shared" si="6"/>
        <v>6</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1.2869565217391303</v>
      </c>
      <c r="AM14" s="1171">
        <f>IF(ISNUMBER(((NºAsuntos!I14/NºAsuntos!G14)*11)/factor_trimestre),((NºAsuntos!I14/NºAsuntos!G14)*11)/factor_trimestre," - ")</f>
        <v>8.0067567567567579</v>
      </c>
      <c r="AN14" s="1172">
        <f>IF(ISNUMBER('Resol  Asuntos'!D14/NºAsuntos!G14),'Resol  Asuntos'!D14/NºAsuntos!G14," - ")</f>
        <v>0.30405405405405406</v>
      </c>
      <c r="AO14" s="1173">
        <f>IF(ISNUMBER((NºAsuntos!C14+NºAsuntos!E14)/NºAsuntos!G14),(NºAsuntos!C14+NºAsuntos!E14)/NºAsuntos!G14," - ")</f>
        <v>3.6689189189189189</v>
      </c>
      <c r="AP14" s="1174" t="str">
        <f t="shared" si="2"/>
        <v xml:space="preserve"> - </v>
      </c>
      <c r="AQ14" s="1174">
        <f>IF(ISNUMBER((H14-W14+K14)/(F14)),(H14-W14+K14)/(F14)," - ")</f>
        <v>0</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280</v>
      </c>
      <c r="G17" s="373">
        <f>IF(ISNUMBER(IF(D_I="SI",Datos!I17,Datos!I17+Datos!AC17)),IF(D_I="SI",Datos!I17,Datos!I17+Datos!AC17)," - ")</f>
        <v>280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v>
      </c>
      <c r="X17" s="240">
        <f>IF(ISNUMBER(Datos!Q17),Datos!Q17," - ")</f>
        <v>10</v>
      </c>
      <c r="Y17" s="374">
        <f t="shared" ref="Y17:Y22" si="9">SUM(W17:X17)</f>
        <v>182</v>
      </c>
      <c r="Z17" s="375" t="str">
        <f>IF(ISNUMBER(Datos!CC17),Datos!CC17," - ")</f>
        <v xml:space="preserve"> - </v>
      </c>
      <c r="AA17" s="372">
        <f>IF(ISNUMBER(IF(D_I="SI",Datos!L17,Datos!L17+Datos!AF17)),IF(D_I="SI",Datos!L17,Datos!L17+Datos!AF17)," - ")</f>
        <v>253</v>
      </c>
      <c r="AB17" s="374">
        <f>IF(ISNUMBER(Datos!R17),Datos!R17," - ")</f>
        <v>0</v>
      </c>
      <c r="AC17" s="374">
        <f t="shared" si="8"/>
        <v>253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1.1862068965517241</v>
      </c>
      <c r="AM17" s="284">
        <f>IF(ISNUMBER(((NºAsuntos!I17/NºAsuntos!G17)*11)/factor_trimestre),((NºAsuntos!I17/NºAsuntos!G17)*11)/factor_trimestre," - ")</f>
        <v>4.412790697674418</v>
      </c>
      <c r="AN17" s="267">
        <f>IF(ISNUMBER('Resol  Asuntos'!D17/NºAsuntos!G17),'Resol  Asuntos'!D17/NºAsuntos!G17," - ")</f>
        <v>8.1395348837209308E-2</v>
      </c>
      <c r="AO17" s="268">
        <f>IF(ISNUMBER((NºAsuntos!C17+NºAsuntos!E17)/NºAsuntos!G17),(NºAsuntos!C17+NºAsuntos!E17)/NºAsuntos!G17," - ")</f>
        <v>2.4709302325581395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280</v>
      </c>
      <c r="G23" s="1163">
        <f>SUBTOTAL(9,G16:G22)</f>
        <v>287</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172</v>
      </c>
      <c r="X23" s="1164">
        <f t="shared" si="14"/>
        <v>10</v>
      </c>
      <c r="Y23" s="1165">
        <f t="shared" si="14"/>
        <v>182</v>
      </c>
      <c r="Z23" s="1165">
        <f t="shared" si="14"/>
        <v>0</v>
      </c>
      <c r="AA23" s="1165">
        <f t="shared" si="14"/>
        <v>260</v>
      </c>
      <c r="AB23" s="1165">
        <f t="shared" si="14"/>
        <v>0</v>
      </c>
      <c r="AC23" s="1165">
        <f t="shared" si="14"/>
        <v>260</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1.1862068965517241</v>
      </c>
      <c r="AM23" s="1171">
        <f>IF(ISNUMBER(((NºAsuntos!I23/NºAsuntos!G23)*11)/factor_trimestre),((NºAsuntos!I23/NºAsuntos!G23)*11)/factor_trimestre," - ")</f>
        <v>4.5348837209302326</v>
      </c>
      <c r="AN23" s="1172">
        <f>IF(ISNUMBER('Resol  Asuntos'!D23/NºAsuntos!G23),'Resol  Asuntos'!D23/NºAsuntos!G23," - ")</f>
        <v>8.1395348837209308E-2</v>
      </c>
      <c r="AO23" s="1173">
        <f>IF(ISNUMBER((NºAsuntos!C23+NºAsuntos!E23)/NºAsuntos!G23),(NºAsuntos!C23+NºAsuntos!E23)/NºAsuntos!G23," - ")</f>
        <v>2.5116279069767442</v>
      </c>
      <c r="AP23" s="1174" t="str">
        <f t="shared" si="2"/>
        <v xml:space="preserve"> - </v>
      </c>
      <c r="AQ23" s="1174">
        <f>IF(ISNUMBER((H23-W23+K23)/(F23)),(H23-W23+K23)/(F23)," - ")</f>
        <v>-0.61428571428571432</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286</v>
      </c>
      <c r="G31" s="1118">
        <f t="shared" si="20"/>
        <v>293</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v>
      </c>
      <c r="X31" s="1118">
        <f t="shared" si="21"/>
        <v>38</v>
      </c>
      <c r="Y31" s="1125">
        <f t="shared" si="21"/>
        <v>210</v>
      </c>
      <c r="Z31" s="1125">
        <f t="shared" si="21"/>
        <v>0</v>
      </c>
      <c r="AA31" s="1125">
        <f t="shared" si="21"/>
        <v>266</v>
      </c>
      <c r="AB31" s="1125">
        <f t="shared" si="21"/>
        <v>581</v>
      </c>
      <c r="AC31" s="1125">
        <f t="shared" si="21"/>
        <v>266</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1.2307692307692308</v>
      </c>
      <c r="AM31" s="1184">
        <f>IF(ISNUMBER(((NºAsuntos!I31/NºAsuntos!G31)*11)/factor_trimestre),((NºAsuntos!I31/NºAsuntos!G31)*11)/factor_trimestre," - ")</f>
        <v>6.140625</v>
      </c>
      <c r="AN31" s="1184">
        <f>IF(ISNUMBER('Resol  Asuntos'!D31/NºAsuntos!G31),'Resol  Asuntos'!D31/NºAsuntos!G31," - ")</f>
        <v>0.18437500000000001</v>
      </c>
      <c r="AO31" s="1185">
        <f>IF(ISNUMBER((NºAsuntos!C31+NºAsuntos!E31)/NºAsuntos!G31),(NºAsuntos!C31+NºAsuntos!E31)/NºAsuntos!G31," - ")</f>
        <v>3.046875</v>
      </c>
      <c r="AP31" s="1186" t="str">
        <f t="shared" si="2"/>
        <v xml:space="preserve"> - </v>
      </c>
      <c r="AQ31" s="1187">
        <f>IF(OR(ISNUMBER(FIND("01",Criterios!A8,1)),ISNUMBER(FIND("02",Criterios!A8,1)),ISNUMBER(FIND("03",Criterios!A8,1)),ISNUMBER(FIND("04",Criterios!A8,1))),(I31-W31+K31)/(F31-K31),(H31-W31+K31)/(F31-K31))</f>
        <v>-0.60139860139860135</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143.06735010709701</v>
      </c>
      <c r="G33" s="277">
        <f>IF(ISNUMBER(STDEV(G8:G30)),STDEV(G8:G30),"-")</f>
        <v>136.52437424102982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83.927406273573851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19.645064811004605</v>
      </c>
      <c r="AJ33" s="276">
        <f t="shared" si="25"/>
        <v>0</v>
      </c>
      <c r="AK33" s="278">
        <f t="shared" si="25"/>
        <v>0</v>
      </c>
      <c r="AL33" s="273">
        <f t="shared" si="25"/>
        <v>5.8167823222702905E-2</v>
      </c>
      <c r="AM33" s="274">
        <f t="shared" si="25"/>
        <v>2.0058571186788434</v>
      </c>
      <c r="AN33" s="274">
        <f t="shared" si="25"/>
        <v>0.12855206339435882</v>
      </c>
      <c r="AO33" s="275">
        <f t="shared" si="25"/>
        <v>0.66861903955961122</v>
      </c>
      <c r="AP33" s="317" t="str">
        <f t="shared" si="25"/>
        <v>-</v>
      </c>
      <c r="AQ33" s="318">
        <f t="shared" si="25"/>
        <v>0.43436559415745063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tKoEDl7Y2du8bhtRp9oXztER8fLMGQZ83wbdgygUFYx7+eqZ4P82ViStEapr0ElKjYnwKYYU3dr2AGedSP4VA==" saltValue="9z93qNDkzGRX7WX2EOdD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SEPULVEDA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0.21621621621621623</v>
      </c>
      <c r="I12" s="395">
        <f>IF(ISNUMBER((Tasas!C12-Datos!BE12)/Datos!BE12),(Tasas!C12-Datos!BE12)/Datos!BE12," - ")</f>
        <v>-0.3601068345832743</v>
      </c>
      <c r="J12" s="394" t="str">
        <f>IF(ISNUMBER((Tasas!D12-Datos!BF12)/Datos!BF12),(Tasas!D12-Datos!BF12)/Datos!BF12," - ")</f>
        <v xml:space="preserve"> - </v>
      </c>
      <c r="K12" s="396">
        <f>IF(ISNUMBER((Tasas!E12-Datos!BG12)/Datos!BG12),(Tasas!E12-Datos!BG12)/Datos!BG12," - ")</f>
        <v>-0.28960170697012799</v>
      </c>
      <c r="M12" t="e">
        <f>IF(Monitorios="SI",Datos!CE12,0)</f>
        <v>#REF!</v>
      </c>
      <c r="N12" t="e">
        <f>IF(Monitorios="SI",Datos!CF12,0)</f>
        <v>#REF!</v>
      </c>
      <c r="O12" t="e">
        <f>IF(Monitorios="SI",Datos!CG12,0)</f>
        <v>#REF!</v>
      </c>
      <c r="P12" t="e">
        <f>IF(Monitorios="SI",Datos!CH12,0)</f>
        <v>#REF!</v>
      </c>
      <c r="Q12">
        <f>IF(J_V="SI",0,Datos!AG12)</f>
        <v>15</v>
      </c>
      <c r="R12">
        <f>IF(J_V="SI",0,Datos!AH12)</f>
        <v>7</v>
      </c>
      <c r="S12">
        <f>IF(J_V="SI",0,Datos!AI12)</f>
        <v>0</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0.21621621621621623</v>
      </c>
      <c r="I14" s="402">
        <f>IF(ISNUMBER((Tasas!C14-Datos!BE14)/Datos!BE14),(Tasas!C14-Datos!BE14)/Datos!BE14," - ")</f>
        <v>-0.35340624129283926</v>
      </c>
      <c r="J14" s="400" t="str">
        <f>IF(ISNUMBER((Tasas!D14-Datos!BF14)/Datos!BF14),(Tasas!D14-Datos!BF14)/Datos!BF14," - ")</f>
        <v xml:space="preserve"> - </v>
      </c>
      <c r="K14" s="403">
        <f>IF(ISNUMBER((Tasas!E14-Datos!BG14)/Datos!BG14),(Tasas!E14-Datos!BG14)/Datos!BG14," - ")</f>
        <v>-0.28448469216104072</v>
      </c>
      <c r="M14" t="e">
        <f>IF(Monitorios="SI",Datos!CE14,0)</f>
        <v>#REF!</v>
      </c>
      <c r="N14" t="e">
        <f>IF(Monitorios="SI",Datos!CF14,0)</f>
        <v>#REF!</v>
      </c>
      <c r="O14" t="e">
        <f>IF(Monitorios="SI",Datos!CG14,0)</f>
        <v>#REF!</v>
      </c>
      <c r="P14" t="e">
        <f>IF(Monitorios="SI",Datos!CH14,0)</f>
        <v>#REF!</v>
      </c>
      <c r="Q14">
        <f>IF(J_V="SI",0,Datos!AG14)</f>
        <v>15</v>
      </c>
      <c r="R14">
        <f>IF(J_V="SI",0,Datos!AH14)</f>
        <v>7</v>
      </c>
      <c r="S14">
        <f>IF(J_V="SI",0,Datos!AI14)</f>
        <v>0</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0.49732620320855614</v>
      </c>
      <c r="E17" s="393">
        <f>IF(ISNUMBER(
   IF(D_I="SI",(Datos!J17-Datos!T17)/Datos!T17,(Datos!J17+Datos!AD17-(Datos!T17+Datos!AL17))/(Datos!T17+Datos!AL17))
     ),IF(D_I="SI",(Datos!J17-Datos!T17)/Datos!T17,(Datos!J17+Datos!AD17-(Datos!T17+Datos!AL17))/(Datos!T17+Datos!AL17))," - ")</f>
        <v>6.6176470588235295E-2</v>
      </c>
      <c r="F17" s="393">
        <f>IF(ISNUMBER(
   IF(D_I="SI",(Datos!K17-Datos!U17)/Datos!U17,(Datos!K17+Datos!AE17-(Datos!U17+Datos!AM17))/(Datos!U17+Datos!AM17))
     ),IF(D_I="SI",(Datos!K17-Datos!U17)/Datos!U17,(Datos!K17+Datos!AE17-(Datos!U17+Datos!AM17))/(Datos!U17+Datos!AM17))," - ")</f>
        <v>0.97701149425287359</v>
      </c>
      <c r="G17" s="394">
        <f>IF(ISNUMBER(
   IF(D_I="SI",(Datos!L17-Datos!V17)/Datos!V17,(Datos!L17+Datos!AF17-(Datos!V17+Datos!AN17))/(Datos!V17+Datos!AN17))
     ),IF(D_I="SI",(Datos!L17-Datos!V17)/Datos!V17,(Datos!L17+Datos!AF17-(Datos!V17+Datos!AN17))/(Datos!V17+Datos!AN17))," - ")</f>
        <v>7.2033898305084748E-2</v>
      </c>
      <c r="H17" s="244">
        <f>IF(ISNUMBER((Datos!M17-Datos!W17)/Datos!W17),(Datos!M17-Datos!W17)/Datos!W17," - ")</f>
        <v>-0.17647058823529413</v>
      </c>
      <c r="I17" s="395">
        <f>IF(ISNUMBER((Tasas!C17-Datos!BE17)/Datos!BE17),(Tasas!C17-Datos!BE17)/Datos!BE17," - ")</f>
        <v>-0.45775029562475361</v>
      </c>
      <c r="J17" s="394">
        <f>IF(ISNUMBER((Tasas!D17-Datos!BF17)/Datos!BF17),(Tasas!D17-Datos!BF17)/Datos!BF17," - ")</f>
        <v>-0.58344733242134061</v>
      </c>
      <c r="K17" s="396">
        <f>IF(ISNUMBER((Tasas!E17-Datos!BG17)/Datos!BG17),(Tasas!E17-Datos!BG17)/Datos!BG17," - ")</f>
        <v>-0.3344553243574051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0.47938144329896909</v>
      </c>
      <c r="E23" s="399">
        <f>IF(ISNUMBER(
   IF(D_I="SI",(Datos!J23-Datos!T23)/Datos!T23,(Datos!J23+Datos!AD23-(Datos!T23+Datos!AL23))/(Datos!T23+Datos!AL23))
     ),IF(D_I="SI",(Datos!J23-Datos!T23)/Datos!T23,(Datos!J23+Datos!AD23-(Datos!T23+Datos!AL23))/(Datos!T23+Datos!AL23))," - ")</f>
        <v>6.9444444444444441E-3</v>
      </c>
      <c r="F23" s="399">
        <f>IF(ISNUMBER(
   IF(D_I="SI",(Datos!K23-Datos!U23)/Datos!U23,(Datos!K23+Datos!AE23-(Datos!U23+Datos!AM23))/(Datos!U23+Datos!AM23))
     ),IF(D_I="SI",(Datos!K23-Datos!U23)/Datos!U23,(Datos!K23+Datos!AE23-(Datos!U23+Datos!AM23))/(Datos!U23+Datos!AM23))," - ")</f>
        <v>0.81052631578947365</v>
      </c>
      <c r="G23" s="400">
        <f>IF(ISNUMBER(
   IF(D_I="SI",(Datos!L23-Datos!V23)/Datos!V23,(Datos!L23+Datos!AF23-(Datos!V23+Datos!AN23))/(Datos!V23+Datos!AN23))
     ),IF(D_I="SI",(Datos!L23-Datos!V23)/Datos!V23,(Datos!L23+Datos!AF23-(Datos!V23+Datos!AN23))/(Datos!V23+Datos!AN23))," - ")</f>
        <v>6.9958847736625515E-2</v>
      </c>
      <c r="H23" s="401">
        <f>IF(ISNUMBER((Datos!M23-Datos!W23)/Datos!W23),(Datos!M23-Datos!W23)/Datos!W23," - ")</f>
        <v>-0.26315789473684209</v>
      </c>
      <c r="I23" s="402">
        <f>IF(ISNUMBER((Tasas!C23-Datos!BE23)/Datos!BE23),(Tasas!C23-Datos!BE23)/Datos!BE23," - ")</f>
        <v>-0.40903435735477078</v>
      </c>
      <c r="J23" s="400">
        <f>IF(ISNUMBER((Tasas!D23-Datos!BF23)/Datos!BF23),(Tasas!D23-Datos!BF23)/Datos!BF23," - ")</f>
        <v>-0.59302325581395343</v>
      </c>
      <c r="K23" s="403">
        <f>IF(ISNUMBER((Tasas!E23-Datos!BG23)/Datos!BG23),(Tasas!E23-Datos!BG23)/Datos!BG23," - ")</f>
        <v>-0.29406907940002752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0.26325088339222613</v>
      </c>
      <c r="E31" s="409">
        <f>IF(ISNUMBER(
   IF(J_V="SI",(Datos!J31-Datos!T31)/Datos!T31,(Datos!J31+Datos!Z31-(Datos!T31+Datos!AH31))/(Datos!T31+Datos!AH31))
     ),IF(J_V="SI",(Datos!J31-Datos!T31)/Datos!T31,(Datos!J31+Datos!Z31-(Datos!T31+Datos!AH31))/(Datos!T31+Datos!AH31))," - ")</f>
        <v>2.3622047244094488E-2</v>
      </c>
      <c r="F31" s="409">
        <f>IF(ISNUMBER(
   IF(J_V="SI",(Datos!K31-Datos!U31)/Datos!U31,(Datos!K31+Datos!AA31-(Datos!U31+Datos!AI31))/(Datos!U31+Datos!AI31))
     ),IF(J_V="SI",(Datos!K31-Datos!U31)/Datos!U31,(Datos!K31+Datos!AA31-(Datos!U31+Datos!AI31))/(Datos!U31+Datos!AI31))," - ")</f>
        <v>0.69312169312169314</v>
      </c>
      <c r="G31" s="410">
        <f>IF(ISNUMBER(
   IF(J_V="SI",(Datos!L31-Datos!V31)/Datos!V31,(Datos!L31+Datos!AB31-(Datos!V31+Datos!AJ31))/(Datos!V31+Datos!AJ31))
     ),IF(J_V="SI",(Datos!L31-Datos!V31)/Datos!V31,(Datos!L31+Datos!AB31-(Datos!V31+Datos!AJ31))/(Datos!V31+Datos!AJ31))," - ")</f>
        <v>3.8034865293185421E-2</v>
      </c>
      <c r="H31" s="411">
        <f>IF(ISNUMBER((Datos!M31-Datos!W31)/Datos!W31),(Datos!M31-Datos!W31)/Datos!W31," - ")</f>
        <v>5.3571428571428568E-2</v>
      </c>
      <c r="I31" s="408">
        <f>IF(ISNUMBER((Tasas!C31-Datos!BE31)/Datos!BE31),(Tasas!C31-Datos!BE31)/Datos!BE31," - ")</f>
        <v>-0.38691065768621236</v>
      </c>
      <c r="J31" s="409">
        <f>IF(ISNUMBER((Tasas!D31-Datos!BF31)/Datos!BF31),(Tasas!D31-Datos!BF31)/Datos!BF31," - ")</f>
        <v>0.83404605263157916</v>
      </c>
      <c r="K31" s="410">
        <f>IF(ISNUMBER((Tasas!E31-Datos!BG31)/Datos!BG31),(Tasas!E31-Datos!BG31)/Datos!BG31," - ")</f>
        <v>-0.29773246951219512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0.28204636964553276</v>
      </c>
      <c r="E33" s="303">
        <f t="shared" si="1"/>
        <v>0.59894679745562074</v>
      </c>
      <c r="F33" s="303">
        <f t="shared" si="1"/>
        <v>1.0954784834261679</v>
      </c>
      <c r="G33" s="304">
        <f t="shared" si="1"/>
        <v>4.0998528020516539E-2</v>
      </c>
      <c r="H33" s="310">
        <f t="shared" si="1"/>
        <v>0.49774593758754004</v>
      </c>
      <c r="I33" s="302">
        <f t="shared" si="1"/>
        <v>4.8587084645085307E-2</v>
      </c>
      <c r="J33" s="303">
        <f t="shared" si="1"/>
        <v>6.7712003670394134E-3</v>
      </c>
      <c r="K33" s="304">
        <f t="shared" si="1"/>
        <v>2.2872766907971187E-2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pGOKp7P3+AJsc8lmmMFd+lz2uj7tcyo//EZQgUZ1RsNF3S7F7GsV8PLcO4Zb2CfQ4L0EaW6SUaGkhfPkNqveg==" saltValue="jTpjGEpLVSGU8Xqpk3n2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